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<sst xmlns="http://schemas.openxmlformats.org/spreadsheetml/2006/main" count="595" uniqueCount="595">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</sst>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0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70" totalsRowDxfId="135"/>
    <tableColumn id="2" name="عدد" dataDxfId="69" totalsRowDxfId="1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BP28</calculatedColumnFormula>
    </tableColumn>
    <tableColumn id="8" name="اجمالي" totalsRowFunction="sum" dataDxfId="67" totalsRowDxfId="131">
      <calculatedColumnFormula>BH98*BP99</calculatedColumnFormula>
    </tableColumn>
    <tableColumn id="9" name="%" totalsRowFunction="custom" totalsRowDxfId="1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70" totalsRowDxfId="135"/>
    <tableColumn id="2" name="عدد" dataDxfId="69" totalsRowDxfId="135">
      <calculatedColumnFormula>IF((#REF!="بالتات"),0,4)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90" totalsRowDxfId="133">
      <calculatedColumnFormula>Sheet2!AW26</calculatedColumnFormula>
    </tableColumn>
    <tableColumn id="8" name="اجمالي" totalsRowFunction="sum" dataDxfId="67" totalsRowDxfId="131">
      <calculatedColumnFormula>BH84*BP84</calculatedColumnFormula>
    </tableColumn>
    <tableColumn id="9" name="%" totalsRowFunction="custom" totalsRowDxfId="130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70"/>
    <tableColumn id="2" name="عدد" totalsRowFunction="sum" dataDxfId="70">
      <calculatedColumnFormula>BH90*4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(Table16627394105[[#This Row],[Column1]]*Table16627394105[[#This Row],[Column2]])*Table16627394105[[#This Row],[عدد]]</calculatedColumnFormula>
    </tableColumn>
    <tableColumn id="4" name="الوحده" dataDxfId="70"/>
    <tableColumn id="5" name="الوزن" totalsRowFunction="custom">
      <totalsRowFormula>(BN93*BH93)+(BH94*BN94)</totalsRowFormula>
    </tableColumn>
    <tableColumn id="6" name="سعر الكيلو" dataDxfId="69"/>
    <tableColumn id="7" name="سعر الشبك " dataDxfId="121">
      <calculatedColumnFormula>BN92*$S$2/1000</calculatedColumnFormula>
    </tableColumn>
    <tableColumn id="8" name="اجمالي" totalsRowFunction="sum" dataDxfId="67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70"/>
    <tableColumn id="2" name="عدد" dataDxfId="77">
      <calculatedColumnFormula>IF((تسعير!$AU$14="بالتات"),0,BH119-2)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تسعير!$BE$44</calculatedColumnFormula>
    </tableColumn>
    <tableColumn id="10" name="شيفت العمل" dataDxfId="70"/>
    <tableColumn id="12" name="Column12" totalsRowFunction="sum" dataDxfId="71">
      <calculatedColumnFormula>SUMIF(Table17697899110[Column1],Table1612677697108[[#This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Table1612677697108[[#This Row],[Column12]]</calculatedColumnFormula>
    </tableColumn>
    <tableColumn id="8" name="اجمالي" totalsRowFunction="sum" dataDxfId="67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79"/>
    <tableColumn id="2" name="عدد" dataDxfId="77">
      <calculatedColumnFormula>IF((BL133="الاسكندرية"),0.25,0.1)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BQ116</calculatedColumnFormula>
    </tableColumn>
    <tableColumn id="8" name="اجمالي" totalsRowFunction="sum" dataDxfId="67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IF((BL133="المقطم"),0.3,IF((BL133="التجمع"),0.3,IF((BL133="الشيخ زايد"),0.3,IF((BL133="الاسكندرية"),0.5,0.35))))</calculatedColumnFormula>
    </tableColumn>
    <tableColumn id="2" name="Column2" dataDxfId="7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70"/>
    <tableColumn id="2" name="عدد" dataDxfId="70">
      <calculatedColumnFormula>IF(OR((BI69="B11"),(BI69="B12"),(BI69="B21"),(BI69="B22"),(BI69="B31"),(BI69="B32")),3,0)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(Table15880101112[[#This Row],[Column1]]+Table15880101112[[#This Row],[Column2]])*12*Table15880101112[[#This Row],[عدد]]</calculatedColumnFormula>
    </tableColumn>
    <tableColumn id="4" name="الوحده" dataDxfId="70"/>
    <tableColumn id="5" name="الوزن" totalsRowFunction="custom">
      <totalsRowFormula>(BN76*BH76)+(BN77*BH77)+(BN78*BH78)+(BN79*BH79)</totalsRowFormula>
    </tableColumn>
    <tableColumn id="6" name="اجمالي المسطح" totalsRowFunction="sum" dataDxfId="69">
      <calculatedColumnFormula>Table15880101112[[#This Row],[المسطح]]*Table15880101112[[#This Row],[عدد]]</calculatedColumnFormula>
    </tableColumn>
    <tableColumn id="7" name="سعر الشبك " dataDxfId="68">
      <calculatedColumnFormula>BN76*$S$2/1000</calculatedColumnFormula>
    </tableColumn>
    <tableColumn id="8" name="اجمالي" totalsRowFunction="sum" dataDxfId="67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70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62" totalsRowDxfId="5"/>
    <tableColumn id="2" name="عدد" totalsRowFunction="custom" totalsRowDxfId="4">
      <totalsRowFormula>(Table80102113[[#Totals],[price]]*1.1)/(BA72*AY72/10000)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44" totalsRowDxfId="5"/>
    <tableColumn id="2" name="عدد" totalsRowFunction="custom" dataDxfId="44" totalsRowDxfId="4">
      <totalsRowFormula>(Table80102114[[#Totals],[price]]*1.1)/(F1*D1/10000)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52" dataDxfId="44" totalsRowDxfId="50">
  <autoFilter ref="A75:F96"/>
  <tableColumns count="6">
    <tableColumn id="1" name="Column1" totalsRowLabel="Total" dataDxfId="44" totalsRowDxfId="5"/>
    <tableColumn id="2" name="عدد" totalsRowFunction="custom" dataDxfId="44" totalsRowDxfId="4">
      <totalsRowFormula>(Table80102114115[[#Totals],[price]]*1.1)/(F74*D74/10000)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70"/>
    <tableColumn id="2" name="عدد" dataDxfId="70">
      <calculatedColumnFormula>IF((F74="الاسكندرية"),0.25,0.1)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(K57)</calculatedColumnFormula>
    </tableColumn>
    <tableColumn id="8" name="اجمالي" totalsRowFunction="sum" dataDxfId="67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70" totalsRowDxfId="135"/>
    <tableColumn id="2" name="عدد" dataDxfId="77" totalsRowDxfId="135">
      <calculatedColumnFormula>B60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SUMIF(Table17[Column1],Table1612[[#This Row],[موقع العمل]],$T$2:$T$20)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Table1612[[#This Row],[Column12]]</calculatedColumnFormula>
    </tableColumn>
    <tableColumn id="8" name="اجمالي" totalsRowFunction="sum" dataDxfId="67" totalsRowDxfId="131">
      <calculatedColumnFormula>B63*J63</calculatedColumnFormula>
    </tableColumn>
    <tableColumn id="9" name="%" totalsRowFunction="custom" totalsRowDxfId="130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77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70"/>
    <tableColumn id="2" name="عدد" dataDxfId="7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(Table118[[#This Row],[Column1]]+Table118[[#This Row],[Column2]])*12*Table118[[#This Row],[عدد]]</calculatedColumnFormula>
    </tableColumn>
    <tableColumn id="4" name="الوحده" dataDxfId="70"/>
    <tableColumn id="5" name="الوزن" dataDxfId="70"/>
    <tableColumn id="6" name="اجمالي الميزان" totalsRowFunction="sum" dataDxfId="69">
      <calculatedColumnFormula>Table118[[#This Row],[الوزن]]*Table118[[#This Row],[عدد]]</calculatedColumnFormula>
    </tableColumn>
    <tableColumn id="7" name="سعر الشبك " dataDxfId="121">
      <calculatedColumnFormula>H6*$H$2/1000</calculatedColumnFormula>
    </tableColumn>
    <tableColumn id="8" name="اجمالي" totalsRowFunction="sum" dataDxfId="67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70"/>
    <tableColumn id="2" name="عدد" dataDxfId="6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0"/>
    <tableColumn id="4" name="الوحده" totalsRowLabel="total" dataDxfId="70"/>
    <tableColumn id="5" name="الوزن" dataDxfId="6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70">
      <calculatedColumnFormula>Sheet2!B7</calculatedColumnFormula>
    </tableColumn>
    <tableColumn id="7" name="سعر الشبك " dataDxfId="121"/>
    <tableColumn id="8" name="اجمالي" totalsRowFunction="sum" dataDxfId="67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70"/>
    <tableColumn id="2" name="عدد" dataDxfId="70">
      <calculatedColumnFormula>IF((تسعير!X30&lt;800),0,IF(AND((تسعير!X30&gt;800),(600&gt;=تسعير!AA32)),1,0))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(Table1421[[#This Row],[Column1]]+Table1421[[#This Row],[Column2]])*12*Table1421[[#This Row],[عدد]]</calculatedColumnFormula>
    </tableColumn>
    <tableColumn id="4" name="الوحده" dataDxfId="70"/>
    <tableColumn id="5" name="الوزن" dataDxfId="70"/>
    <tableColumn id="6" name="سعر الكيلو" totalsRowFunction="sum" dataDxfId="69">
      <calculatedColumnFormula>Table1421[[#This Row],[الوزن]]*Table1421[[#This Row],[عدد]]</calculatedColumnFormula>
    </tableColumn>
    <tableColumn id="7" name="سعر الشبك " dataDxfId="121">
      <calculatedColumnFormula>H13*$I$2/1000</calculatedColumnFormula>
    </tableColumn>
    <tableColumn id="8" name="اجمالي" totalsRowFunction="sum" dataDxfId="67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70"/>
    <tableColumn id="2" name="عدد" dataDxfId="69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Sheet2!B22</calculatedColumnFormula>
    </tableColumn>
    <tableColumn id="8" name="اجمالي" totalsRowFunction="sum" dataDxfId="67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70"/>
    <tableColumn id="2" name="عدد" totalsRowFunction="count" dataDxfId="69">
      <calculatedColumnFormula>B30*4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(Table1624[[#This Row],[Column1]]*Table1624[[#This Row],[Column2]])*Table1624[[#This Row],[عدد]]</calculatedColumnFormula>
    </tableColumn>
    <tableColumn id="4" name="الوحده" dataDxfId="70"/>
    <tableColumn id="5" name="الوزن" totalsRowFunction="custom">
      <totalsRowFormula>H31*B31+H32*B32</totalsRowFormula>
    </tableColumn>
    <tableColumn id="6" name="سعر الكيلو" dataDxfId="69">
      <calculatedColumnFormula>$H$2/1000</calculatedColumnFormula>
    </tableColumn>
    <tableColumn id="7" name="سعر الشبك " dataDxfId="121">
      <calculatedColumnFormula>H31*$H$2/1000</calculatedColumnFormula>
    </tableColumn>
    <tableColumn id="8" name="اجمالي" totalsRowFunction="sum" dataDxfId="67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70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70"/>
    <tableColumn id="2" name="عدد" dataDxfId="70">
      <calculatedColumnFormula>IF((F79="الاسكندرية"),0.25,0.1)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K58</calculatedColumnFormula>
    </tableColumn>
    <tableColumn id="8" name="اجمالي" totalsRowFunction="sum" dataDxfId="67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70" totalsRowDxfId="135"/>
    <tableColumn id="2" name="عدد" dataDxfId="77" totalsRowDxfId="135">
      <calculatedColumnFormula>B65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SUMIF(Table1731[Column1],Table161229[[#This Row],[موقع العمل]],$T$2:$T$26)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Table161229[[#This Row],[Column12]]</calculatedColumnFormula>
    </tableColumn>
    <tableColumn id="8" name="اجمالي" totalsRowFunction="sum" dataDxfId="67" totalsRowDxfId="131">
      <calculatedColumnFormula>B68*J68</calculatedColumnFormula>
    </tableColumn>
    <tableColumn id="9" name="%" totalsRowFunction="custom" totalsRowDxfId="130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79" totalsRowDxfId="135"/>
    <tableColumn id="2" name="عدد" dataDxfId="77" totalsRowDxfId="135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/>
    <tableColumn id="8" name="اجمالي" totalsRowFunction="sum" dataDxfId="67" totalsRowDxfId="131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77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(Table1662[[#This Row],[Column1]]*Table1662[[#This Row],[Column2]])*Table1662[[#This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IF((تسعير!$AU$14="بالتات"),0,M52-2)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SUMIF(Table1769[Column1],Table161267[[#This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IF((N2="A1"),2,IF((N2="A2"),3,IF((N2="B1"),2.5,IF((N2="B2"),3,0))))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(Table158[[#This Row],[Column1]]+Table158[[#This Row],[Column2]])*12*Table158[[#This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totalsRowFunction="sum" dataDxfId="69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Table823[[#Totals],[اجمالي التكلفة]]/B1</totalsRowFormula>
    </tableColumn>
    <tableColumn id="2" name="اجمالي التكلفة" totalsRowFunction="sum" dataDxfId="766" totalsRowDxfId="16"/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(Table166241[[#This Row],[Column1]]*Table166241[[#This Row],[Column2]])*Table166241[[#This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IF((تسعير!$BF$14="بالتات"),0,M52-2)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تسعير!$BE$4</calculatedColumnFormula>
    </tableColumn>
    <tableColumn id="10" name="شيفت العمل" dataDxfId="70" totalsRowDxfId="135"/>
    <tableColumn id="12" name="Column12" totalsRowFunction="sum" dataDxfId="71" totalsRowDxfId="141"/>
    <tableColumn id="4" name="عدد الايام" dataDxfId="102" totalsRowDxfId="135"/>
    <tableColumn id="7" name="اجمالي التكلفة للعامل" dataDxfId="101" totalsRowDxfId="133">
      <calculatedColumnFormula>Table16126744[[#This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IF((N2="c1"),3,IF((N2="c2"),4,IF((N2="d1"),4,IF((N2="d2"),5,0))))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(Table15855[[#This Row],[Column1]]+Table15855[[#This Row],[Column2]])*12*Table15855[[#This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dataDxfId="69"/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615"/>
    <tableColumn id="2" name="المقاس" dataDxfId="615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70" totalsRowDxfId="1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70" totalsRowDxfId="135"/>
    <tableColumn id="5" name="الوزن" totalsRowFunction="custom" totalsRowDxfId="135">
      <totalsRowFormula>(H6*B6)+(H8*B8)+(H7*B7)</totalsRowFormula>
    </tableColumn>
    <tableColumn id="6" name="مسطح" dataDxfId="69" totalsRowDxfId="135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615" totalsRowDxfId="650"/>
    <tableColumn id="2" name="عدد/الشمسية" dataDxfId="649" totalsRowDxfId="646"/>
    <tableColumn id="3" name="سعر الوحدة" dataDxfId="615" totalsRowDxfId="646"/>
    <tableColumn id="4" name="قيمة" totalsRowFunction="sum" dataDxfId="615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615"/>
    <tableColumn id="2" name="Column2" dataDxfId="615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6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631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615" totalsRowDxfId="141"/>
    <tableColumn id="2" name="عدد/الشمسية" dataDxfId="626" totalsRowDxfId="141"/>
    <tableColumn id="3" name="سعر الوحدة" dataDxfId="615" totalsRowDxfId="141"/>
    <tableColumn id="4" name="قيمة" totalsRowFunction="sum" dataDxfId="615" totalsRowDxfId="141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70" totalsRowDxfId="135"/>
    <tableColumn id="2" name="عدد" dataDxfId="69" totalsRowDxfId="1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Sheet2!B8</calculatedColumnFormula>
    </tableColumn>
    <tableColumn id="8" name="اجمالي" totalsRowFunction="sum" dataDxfId="67" totalsRowDxfId="131">
      <calculatedColumnFormula>B35*J35</calculatedColumnFormula>
    </tableColumn>
    <tableColumn id="9" name="%" totalsRowFunction="custom" totalsRowDxfId="130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615"/>
    <tableColumn id="2" name="Column2" dataDxfId="615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61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610"/>
    <tableColumn id="2" name="الناتج" dataDxfId="611"/>
    <tableColumn id="3" name="Column1" dataDxfId="61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77" totalsRowDxfId="135">
      <calculatedColumnFormula>I28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تسعير!$T$45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Table161243[[#This Row],[Column12]]</calculatedColumnFormula>
    </tableColumn>
    <tableColumn id="8" name="اجمالي" totalsRowFunction="sum" dataDxfId="67" totalsRowDxfId="131">
      <calculatedColumnFormula>I31*Q31</calculatedColumnFormula>
    </tableColumn>
    <tableColumn id="9" name="%" totalsRowFunction="custom" totalsRowDxfId="1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7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70" totalsRowDxfId="56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77" totalsRowDxfId="135">
      <calculatedColumnFormula>I61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تسعير!$T$63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SUMIF(Table17[Column1],Table16124360[[#This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Table16124360[[#This Row],[Column12]]</calculatedColumnFormula>
    </tableColumn>
    <tableColumn id="8" name="اجمالي" totalsRowFunction="sum" dataDxfId="67" totalsRowDxfId="131">
      <calculatedColumnFormula>I64*Q64</calculatedColumnFormula>
    </tableColumn>
    <tableColumn id="9" name="%" totalsRowFunction="custom" totalsRowDxfId="1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7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M28*U28</calculatedColumnFormula>
    </tableColumn>
    <tableColumn id="9" name="%" totalsRowFunction="custom" totalsRowDxfId="1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70"/>
    <tableColumn id="2" name="عدد" dataDxfId="70">
      <calculatedColumnFormula>IF((تسعير!X7&lt;800),0,IF(AND((تسعير!X7&gt;800),(600&gt;=تسعير!AA9)),1,0))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(Table14[[#This Row],[Column1]]+Table14[[#This Row],[Column2]])*12*Table14[[#This Row],[عدد]]</calculatedColumnFormula>
    </tableColumn>
    <tableColumn id="4" name="الوحده" dataDxfId="70"/>
    <tableColumn id="5" name="الوزن" totalsRowFunction="custom">
      <totalsRowFormula>H12*B12+H13*B13</totalsRowFormula>
    </tableColumn>
    <tableColumn id="6" name="مسطح" dataDxfId="69">
      <calculatedColumnFormula>Table14[[#This Row],[Column12]]*Table14[[#This Row],[عدد]]</calculatedColumnFormula>
    </tableColumn>
    <tableColumn id="7" name="سعر الشبك " dataDxfId="121">
      <calculatedColumnFormula>H12*$I$2/1000</calculatedColumnFormula>
    </tableColumn>
    <tableColumn id="8" name="اجمالي" totalsRowFunction="sum" dataDxfId="6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(Table166273[[#This Row],[Column1]]*Table166273[[#This Row],[Column2]])*Table166273[[#This Row],[عدد]]</calculatedColumnFormula>
    </tableColumn>
    <tableColumn id="4" name="الوحده" dataDxfId="70"/>
    <tableColumn id="5" name="الوزن" totalsRowFunction="custom">
      <totalsRowFormula>(S23*M23)+(M24*S24)</totalsRowFormula>
    </tableColumn>
    <tableColumn id="6" name="سعر الكيلو" dataDxfId="69"/>
    <tableColumn id="7" name="سعر الشبك " dataDxfId="121">
      <calculatedColumnFormula>S22*$S$2/1000</calculatedColumnFormula>
    </tableColumn>
    <tableColumn id="8" name="اجمالي" totalsRowFunction="sum" dataDxfId="67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70" totalsRowDxfId="135"/>
    <tableColumn id="2" name="عدد" dataDxfId="77" totalsRowDxfId="135">
      <calculatedColumnFormula>IF((تسعير!$AU$14="بالتات"),0,M49-2)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SUMIF(Table176978[Column1],Table16126776[[#This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Table16126776[[#This Row],[Column12]]</calculatedColumnFormula>
    </tableColumn>
    <tableColumn id="8" name="اجمالي" totalsRowFunction="sum" dataDxfId="67" totalsRowDxfId="131">
      <calculatedColumnFormula>M52*U52</calculatedColumnFormula>
    </tableColumn>
    <tableColumn id="9" name="%" totalsRowFunction="custom" totalsRowDxfId="1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79" totalsRowDxfId="135"/>
    <tableColumn id="2" name="عدد" dataDxfId="77" totalsRowDxfId="135">
      <calculatedColumnFormula>IF((Q63="الاسكندرية"),0.25,0.1)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Table80102114[[#Totals],[price]]</calculatedColumnFormula>
    </tableColumn>
    <tableColumn id="8" name="اجمالي" totalsRowFunction="sum" dataDxfId="67" totalsRowDxfId="131">
      <calculatedColumnFormula>M47*Table16136877[[#This Row],[سعر الشبك ]]</calculatedColumnFormula>
    </tableColumn>
    <tableColumn id="9" name="%" totalsRowFunction="custom" totalsRowDxfId="130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IF((Q63="المقطم"),0.3,IF((Q63="التجمع"),0.3,IF((Q63="الشيخ زايد"),0.3,IF((Q63="الاسكندرية"),0.5,0.35))))</calculatedColumnFormula>
    </tableColumn>
    <tableColumn id="2" name="Column2" dataDxfId="7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(Table15880[[#This Row],[Column1]]+Table15880[[#This Row],[Column2]])*12*Table15880[[#This Row],[عدد]]</calculatedColumnFormula>
    </tableColumn>
    <tableColumn id="4" name="الوحده" dataDxfId="70"/>
    <tableColumn id="5" name="الوزن" totalsRowFunction="custom">
      <totalsRowFormula>(S6*M6)+(S7*M7)+(M8*S8)+(S9*M9)</totalsRowFormula>
    </tableColumn>
    <tableColumn id="6" name="اجمالي المسطح" totalsRowFunction="sum" dataDxfId="69">
      <calculatedColumnFormula>Table15880[[#This Row],[المسطح]]*Table15880[[#This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70" totalsRowDxfId="135"/>
    <tableColumn id="2" name="عدد" dataDxfId="69" totalsRowDxfId="1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M99*U100</calculatedColumnFormula>
    </tableColumn>
    <tableColumn id="9" name="%" totalsRowFunction="custom" totalsRowDxfId="1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Sheet2!B22</calculatedColumnFormula>
    </tableColumn>
    <tableColumn id="8" name="اجمالي" totalsRowFunction="sum" dataDxfId="67" totalsRowDxfId="131">
      <calculatedColumnFormula>B17*J17</calculatedColumnFormula>
    </tableColumn>
    <tableColumn id="9" name="%" totalsRowFunction="custom" totalsRowDxfId="130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70"/>
    <tableColumn id="2" name="عدد" dataDxfId="69">
      <calculatedColumnFormula>IF((I70="بالتات"),0,4)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70"/>
    <tableColumn id="2" name="عدد" totalsRowFunction="sum" dataDxfId="70">
      <calculatedColumnFormula>M91*4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(Table16627394[[#This Row],[Column1]]*Table16627394[[#This Row],[Column2]])*Table16627394[[#This Row],[عدد]]</calculatedColumnFormula>
    </tableColumn>
    <tableColumn id="4" name="الوحده" dataDxfId="70"/>
    <tableColumn id="5" name="الوزن" totalsRowFunction="custom">
      <totalsRowFormula>(S94*M94)+(M95*S95)</totalsRowFormula>
    </tableColumn>
    <tableColumn id="6" name="سعر الكيلو" dataDxfId="69"/>
    <tableColumn id="7" name="سعر الشبك " dataDxfId="121">
      <calculatedColumnFormula>S93*$S$2/1000</calculatedColumnFormula>
    </tableColumn>
    <tableColumn id="8" name="اجمالي" totalsRowFunction="sum" dataDxfId="67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70" totalsRowDxfId="135"/>
    <tableColumn id="2" name="عدد" dataDxfId="77" totalsRowDxfId="135">
      <calculatedColumnFormula>IF((تسعير!$AU$14="بالتات"),0,M120-2)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SUMIF(Table17697899[Column1],Table1612677697[[#This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Table1612677697[[#This Row],[Column12]]</calculatedColumnFormula>
    </tableColumn>
    <tableColumn id="8" name="اجمالي" totalsRowFunction="sum" dataDxfId="67" totalsRowDxfId="131">
      <calculatedColumnFormula>M123*U123</calculatedColumnFormula>
    </tableColumn>
    <tableColumn id="9" name="%" totalsRowFunction="custom" totalsRowDxfId="1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79" totalsRowDxfId="135"/>
    <tableColumn id="2" name="عدد" dataDxfId="77" totalsRowDxfId="135">
      <calculatedColumnFormula>IF((Q134="الاسكندرية"),0.25,0.1)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F96</calculatedColumnFormula>
    </tableColumn>
    <tableColumn id="8" name="اجمالي" totalsRowFunction="sum" dataDxfId="67" totalsRowDxfId="131">
      <calculatedColumnFormula>M118*Table1613687798[[#This Row],[سعر الشبك ]]</calculatedColumnFormula>
    </tableColumn>
    <tableColumn id="9" name="%" totalsRowFunction="custom" totalsRowDxfId="130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IF((Q134="المقطم"),0.3,IF((Q134="التجمع"),0.3,IF((Q134="الشيخ زايد"),0.3,IF((Q134="الاسكندرية"),0.5,0.35))))</calculatedColumnFormula>
    </tableColumn>
    <tableColumn id="2" name="Column2" dataDxfId="7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70"/>
    <tableColumn id="2" name="عدد" dataDxfId="70">
      <calculatedColumnFormula>IF(OR((N70="B11"),(N70="B12"),(N70="B21"),(N70="B22"),(N70="B31"),(N70="B32")),3,0)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(Table15880101[[#This Row],[Column1]]+Table15880101[[#This Row],[Column2]])*12*Table15880101[[#This Row],[عدد]]</calculatedColumnFormula>
    </tableColumn>
    <tableColumn id="4" name="الوحده" dataDxfId="70"/>
    <tableColumn id="5" name="الوزن" totalsRowFunction="custom">
      <totalsRowFormula>(S77*M77)+(S78*M78)+(M79*S79)+(S80*M80)</totalsRowFormula>
    </tableColumn>
    <tableColumn id="6" name="اجمالي المسطح" totalsRowFunction="sum" dataDxfId="69">
      <calculatedColumnFormula>Table15880101[[#This Row],[المسطح]]*Table15880101[[#This Row],[عدد]]</calculatedColumnFormula>
    </tableColumn>
    <tableColumn id="7" name="سعر الشبك " dataDxfId="68">
      <calculatedColumnFormula>S77*$S$2/1000</calculatedColumnFormula>
    </tableColumn>
    <tableColumn id="8" name="اجمالي" totalsRowFunction="sum" dataDxfId="67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Sheet2!AW6</calculatedColumnFormula>
    </tableColumn>
    <tableColumn id="8" name="اجمالي" totalsRowFunction="sum" dataDxfId="67" totalsRowDxfId="131">
      <calculatedColumnFormula>BH28*BP28</calculatedColumnFormula>
    </tableColumn>
    <tableColumn id="9" name="%" totalsRowFunction="custom" totalsRowDxfId="1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70" totalsRowDxfId="135"/>
    <tableColumn id="2" name="عدد" totalsRowFunction="count" dataDxfId="70" totalsRowDxfId="135">
      <calculatedColumnFormula>B29*4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totalsRowFunction="sum" dataDxfId="71" totalsRowDxfId="141">
      <calculatedColumnFormula>(Table16[[#This Row],[Column1]]*Table16[[#This Row],[Column2]])*Table16[[#This Row],[عدد]]</calculatedColumnFormula>
    </tableColumn>
    <tableColumn id="4" name="الوحده" dataDxfId="70" totalsRowDxfId="135"/>
    <tableColumn id="5" name="الوزن" totalsRowFunction="custom" totalsRowDxfId="135">
      <totalsRowFormula>H30*B30+H31*B31</totalsRowFormula>
    </tableColumn>
    <tableColumn id="6" name="Column3" dataDxfId="69" totalsRowDxfId="135"/>
    <tableColumn id="7" name="سعر الشبك " dataDxfId="121" totalsRowDxfId="133">
      <calculatedColumnFormula>H30*$H$2/1000</calculatedColumnFormula>
    </tableColumn>
    <tableColumn id="8" name="اجمالي" totalsRowFunction="sum" dataDxfId="67" totalsRowDxfId="131">
      <calculatedColumnFormula>B30*J30</calculatedColumnFormula>
    </tableColumn>
    <tableColumn id="9" name="%" totalsRowFunction="custom" totalsRowDxfId="130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Sheet2!AW26</calculatedColumnFormula>
    </tableColumn>
    <tableColumn id="8" name="اجمالي" totalsRowFunction="sum" dataDxfId="67" totalsRowDxfId="131">
      <calculatedColumnFormula>BH14*BP14</calculatedColumnFormula>
    </tableColumn>
    <tableColumn id="9" name="%" totalsRowFunction="custom" totalsRowDxfId="130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70"/>
    <tableColumn id="2" name="عدد" totalsRowFunction="count" dataDxfId="70">
      <calculatedColumnFormula>BH20*4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(Table16627383[[#This Row],[Column1]]*Table16627383[[#This Row],[Column2]])*Table16627383[[#This Row],[عدد]]</calculatedColumnFormula>
    </tableColumn>
    <tableColumn id="4" name="الوحده" dataDxfId="70"/>
    <tableColumn id="5" name="الوزن" totalsRowFunction="custom">
      <totalsRowFormula>(BN23*BH23)+(BH24*BN24)</totalsRowFormula>
    </tableColumn>
    <tableColumn id="6" name="سعر الكيلو" dataDxfId="69"/>
    <tableColumn id="7" name="سعر الشبك " dataDxfId="121">
      <calculatedColumnFormula>BN22*$S$2/1000</calculatedColumnFormula>
    </tableColumn>
    <tableColumn id="8" name="اجمالي" totalsRowFunction="sum" dataDxfId="67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70"/>
    <tableColumn id="2" name="عدد" dataDxfId="77">
      <calculatedColumnFormula>IF((تسعير!$AU$14="بالتات"),0,BH48-2)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تسعير!$AT$44</calculatedColumnFormula>
    </tableColumn>
    <tableColumn id="10" name="شيفت العمل" dataDxfId="70"/>
    <tableColumn id="12" name="Column12" totalsRowFunction="sum" dataDxfId="71">
      <calculatedColumnFormula>SUMIF(Table17697888[Column1],Table1612677686[[#This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Table1612677686[[#This Row],[Column12]]</calculatedColumnFormula>
    </tableColumn>
    <tableColumn id="8" name="اجمالي" totalsRowFunction="sum" dataDxfId="67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79"/>
    <tableColumn id="2" name="عدد" dataDxfId="77">
      <calculatedColumnFormula>IF((BL62="الاسكندرية"),0.25,0.1)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BQ45</calculatedColumnFormula>
    </tableColumn>
    <tableColumn id="8" name="اجمالي" totalsRowFunction="sum" dataDxfId="67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IF((BL62="المقطم"),0.3,IF((BL62="التجمع"),0.3,IF((BL62="الشيخ زايد"),0.3,IF((BL62="الاسكندرية"),0.5,0.35))))</calculatedColumnFormula>
    </tableColumn>
    <tableColumn id="2" name="Column2" dataDxfId="7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(Table1588090[[#This Row],[Column1]]+Table1588090[[#This Row],[Column2]])*12*Table1588090[[#This Row],[عدد]]</calculatedColumnFormula>
    </tableColumn>
    <tableColumn id="4" name="الوحده" dataDxfId="70"/>
    <tableColumn id="5" name="الوزن" totalsRowFunction="custom">
      <totalsRowFormula>(BN6*BH6)+(BN7*BG7)+(BN8*BG8)+(BN9*BG9)</totalsRowFormula>
    </tableColumn>
    <tableColumn id="6" name="اجمالي المسطح" totalsRowFunction="sum" dataDxfId="69">
      <calculatedColumnFormula>Table1588090[[#This Row],[المسطح]]*Table1588090[[#This Row],[عدد]]</calculatedColumnFormula>
    </tableColumn>
    <tableColumn id="7" name="سعر الشبك " dataDxfId="68">
      <calculatedColumnFormula>BN6*$S$2/1000</calculatedColumnFormula>
    </tableColumn>
    <tableColumn id="8" name="اجمالي" totalsRowFunction="sum" dataDxfId="67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217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37315.625</v>
      </c>
      <c r="J3" s="515"/>
    </row>
    <row r="4" ht="21">
      <c r="A4" s="509"/>
      <c r="B4" s="510"/>
      <c r="C4" s="510"/>
      <c r="D4" s="511"/>
      <c r="E4" s="500"/>
      <c r="F4" s="505"/>
      <c r="G4" s="567" t="s">
        <v>218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204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129872.5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219</v>
      </c>
      <c r="B10" s="568"/>
    </row>
    <row r="11">
      <c r="A11" s="233" t="s">
        <v>220</v>
      </c>
      <c r="B11" s="233" t="s">
        <v>221</v>
      </c>
    </row>
    <row r="12">
      <c r="A12" s="233" t="s">
        <v>222</v>
      </c>
      <c r="B12" s="233">
        <v>65000</v>
      </c>
    </row>
    <row r="13">
      <c r="A13" s="233" t="s">
        <v>223</v>
      </c>
      <c r="B13" s="233">
        <v>75000</v>
      </c>
    </row>
    <row r="14">
      <c r="A14" s="558" t="s">
        <v>224</v>
      </c>
      <c r="B14" s="233">
        <v>215000</v>
      </c>
    </row>
    <row r="15">
      <c r="A15" s="233" t="s">
        <v>225</v>
      </c>
      <c r="B15" s="233">
        <v>50000</v>
      </c>
    </row>
    <row r="16">
      <c r="A16" s="233" t="s">
        <v>226</v>
      </c>
      <c r="B16" s="233">
        <v>275</v>
      </c>
    </row>
    <row r="17">
      <c r="A17" s="233" t="s">
        <v>227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228</v>
      </c>
      <c r="B33" s="233">
        <v>11000</v>
      </c>
    </row>
    <row r="34">
      <c r="A34" s="233" t="s">
        <v>229</v>
      </c>
      <c r="B34" s="233">
        <v>2000</v>
      </c>
    </row>
    <row r="35">
      <c r="A35" s="233" t="s">
        <v>230</v>
      </c>
      <c r="B35" s="233">
        <v>1500</v>
      </c>
    </row>
    <row r="36">
      <c r="A36" s="233" t="s">
        <v>231</v>
      </c>
      <c r="B36" s="233">
        <v>1500</v>
      </c>
    </row>
    <row r="37">
      <c r="A37" s="233" t="s">
        <v>232</v>
      </c>
      <c r="B37" s="233">
        <v>5000</v>
      </c>
    </row>
    <row r="38">
      <c r="A38" s="233" t="s">
        <v>233</v>
      </c>
      <c r="B38" s="233">
        <v>800</v>
      </c>
    </row>
    <row r="39">
      <c r="A39" s="233" t="s">
        <v>234</v>
      </c>
      <c r="B39" s="233">
        <v>120</v>
      </c>
    </row>
    <row r="40">
      <c r="A40" s="233" t="s">
        <v>235</v>
      </c>
      <c r="B40" s="233">
        <v>90</v>
      </c>
    </row>
    <row r="41">
      <c r="A41" s="233" t="s">
        <v>236</v>
      </c>
      <c r="B41" s="233">
        <v>20</v>
      </c>
    </row>
    <row r="42" ht="18.75">
      <c r="A42" s="331" t="s">
        <v>237</v>
      </c>
      <c r="B42" s="233">
        <v>450</v>
      </c>
    </row>
    <row r="43" ht="18.75">
      <c r="A43" s="331" t="s">
        <v>238</v>
      </c>
      <c r="B43" s="233">
        <v>160</v>
      </c>
    </row>
    <row r="44" ht="18.75">
      <c r="A44" s="331" t="s">
        <v>239</v>
      </c>
      <c r="B44" s="233">
        <v>175</v>
      </c>
    </row>
    <row r="45">
      <c r="A45" s="558" t="s">
        <v>240</v>
      </c>
      <c r="B45" s="233">
        <v>4000</v>
      </c>
    </row>
    <row r="46">
      <c r="A46" s="558" t="s">
        <v>241</v>
      </c>
      <c r="B46" s="233">
        <v>3000</v>
      </c>
    </row>
    <row r="47">
      <c r="A47" s="233" t="s">
        <v>242</v>
      </c>
      <c r="B47" s="233">
        <v>160</v>
      </c>
    </row>
    <row r="48">
      <c r="A48" s="233" t="s">
        <v>243</v>
      </c>
      <c r="B48" s="233">
        <v>20</v>
      </c>
    </row>
    <row r="49">
      <c r="A49" s="233" t="s">
        <v>244</v>
      </c>
      <c r="B49" s="233">
        <v>1200</v>
      </c>
    </row>
    <row r="50">
      <c r="A50" s="233" t="s">
        <v>245</v>
      </c>
      <c r="B50" s="233">
        <v>150</v>
      </c>
    </row>
    <row r="51">
      <c r="A51" s="233" t="s">
        <v>246</v>
      </c>
      <c r="B51" s="233">
        <v>150</v>
      </c>
    </row>
    <row r="52">
      <c r="A52" s="233" t="s">
        <v>247</v>
      </c>
      <c r="B52" s="233">
        <v>250</v>
      </c>
    </row>
    <row r="53">
      <c r="A53" s="233" t="s">
        <v>248</v>
      </c>
      <c r="B53" s="233">
        <v>100</v>
      </c>
    </row>
    <row r="54">
      <c r="A54" s="558" t="s">
        <v>249</v>
      </c>
      <c r="B54" s="233">
        <v>1200</v>
      </c>
    </row>
    <row r="55">
      <c r="A55" s="537" t="s">
        <v>250</v>
      </c>
      <c r="B55" s="233">
        <v>23000</v>
      </c>
    </row>
    <row r="56">
      <c r="A56" s="537" t="s">
        <v>251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355</v>
      </c>
      <c r="Y1" s="136" t="e">
        <f>Royal!#REF!</f>
        <v>#REF!</v>
      </c>
      <c r="Z1" s="151" t="s">
        <v>356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357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358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356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359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252</v>
      </c>
      <c r="B6" s="683"/>
      <c r="C6" s="684"/>
      <c r="D6" s="676" t="s">
        <v>360</v>
      </c>
      <c r="E6" s="745" t="s">
        <v>361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362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363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364</v>
      </c>
      <c r="O7" s="99">
        <f>AA41/K7</f>
        <v>2895.7462160158993</v>
      </c>
      <c r="S7" s="60" t="s">
        <v>127</v>
      </c>
      <c r="T7" s="61" t="s">
        <v>365</v>
      </c>
      <c r="Z7" s="151"/>
      <c r="AA7" s="60"/>
      <c r="AB7" s="60"/>
    </row>
    <row r="8">
      <c r="A8" s="685"/>
      <c r="B8" s="686"/>
      <c r="C8" s="687"/>
      <c r="D8" s="677"/>
      <c r="E8" s="722" t="s">
        <v>366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368</v>
      </c>
      <c r="B10" s="726"/>
      <c r="C10" s="726"/>
      <c r="D10" s="726"/>
      <c r="E10" s="726"/>
      <c r="F10" s="726"/>
      <c r="G10" s="727" t="s">
        <v>369</v>
      </c>
      <c r="H10" s="727"/>
      <c r="I10" s="727" t="s">
        <v>370</v>
      </c>
      <c r="J10" s="727"/>
      <c r="K10" s="104"/>
      <c r="L10" s="728" t="s">
        <v>305</v>
      </c>
      <c r="M10" s="728"/>
      <c r="N10" s="728"/>
      <c r="O10" s="105"/>
      <c r="P10" s="97"/>
      <c r="Q10" s="97"/>
      <c r="R10" s="97"/>
      <c r="S10" s="90" t="s">
        <v>371</v>
      </c>
      <c r="T10" s="90" t="s">
        <v>372</v>
      </c>
      <c r="U10" s="90" t="s">
        <v>373</v>
      </c>
      <c r="V10" s="90" t="s">
        <v>374</v>
      </c>
      <c r="W10" s="60" t="s">
        <v>375</v>
      </c>
      <c r="X10" s="60" t="s">
        <v>221</v>
      </c>
      <c r="Z10" s="151"/>
      <c r="AA10" s="60"/>
      <c r="AB10" s="60"/>
    </row>
    <row r="11" ht="20.1" customHeight="1">
      <c r="A11" s="729" t="s">
        <v>376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377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378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279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379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283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380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381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382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383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384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308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385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369</v>
      </c>
      <c r="M20" s="715" t="s">
        <v>386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387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388</v>
      </c>
      <c r="B23" s="703"/>
      <c r="C23" s="703"/>
      <c r="D23" s="703"/>
      <c r="E23" s="704"/>
      <c r="F23" s="67" t="s">
        <v>389</v>
      </c>
      <c r="G23" s="68"/>
      <c r="H23" s="702" t="s">
        <v>390</v>
      </c>
      <c r="I23" s="703"/>
      <c r="J23" s="703"/>
      <c r="K23" s="703"/>
      <c r="L23" s="704"/>
      <c r="M23" s="67" t="s">
        <v>369</v>
      </c>
      <c r="N23" s="119"/>
      <c r="O23" s="119"/>
      <c r="P23" s="120"/>
      <c r="Q23" s="120"/>
      <c r="R23" s="120"/>
      <c r="S23" s="146"/>
      <c r="T23" s="147" t="s">
        <v>391</v>
      </c>
      <c r="U23" s="146" t="s">
        <v>392</v>
      </c>
      <c r="V23" s="146" t="s">
        <v>393</v>
      </c>
      <c r="W23" s="146" t="s">
        <v>394</v>
      </c>
      <c r="X23" s="146" t="s">
        <v>392</v>
      </c>
      <c r="Y23" s="146" t="s">
        <v>393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395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296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396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229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397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398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399</v>
      </c>
      <c r="C27" s="689"/>
      <c r="D27" s="689"/>
      <c r="E27" s="690"/>
      <c r="F27" s="73">
        <v>4</v>
      </c>
      <c r="G27" s="71"/>
      <c r="H27" s="72">
        <v>19</v>
      </c>
      <c r="I27" s="691" t="s">
        <v>400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401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402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403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230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404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231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405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406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407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408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409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410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411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232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412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233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413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414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415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416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234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417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418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289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290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419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357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420</v>
      </c>
      <c r="F3" s="648" t="s">
        <v>421</v>
      </c>
      <c r="G3" s="648"/>
    </row>
    <row r="4" ht="18" customHeight="1">
      <c r="A4" s="11" t="s">
        <v>289</v>
      </c>
      <c r="F4" s="652" t="s">
        <v>422</v>
      </c>
      <c r="G4" s="653"/>
      <c r="H4" s="653"/>
      <c r="I4" s="654"/>
      <c r="J4" s="10"/>
    </row>
    <row r="5" ht="18" customHeight="1">
      <c r="A5" s="11" t="s">
        <v>290</v>
      </c>
      <c r="F5" s="655" t="s">
        <v>423</v>
      </c>
      <c r="G5" s="646"/>
      <c r="H5" s="646"/>
      <c r="I5" s="647"/>
      <c r="J5" s="10"/>
    </row>
    <row r="6" ht="18" customHeight="1">
      <c r="A6" s="11" t="s">
        <v>361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424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291</v>
      </c>
    </row>
    <row r="10" ht="18" customHeight="1">
      <c r="A10" s="11" t="s">
        <v>292</v>
      </c>
    </row>
    <row r="11" ht="18" customHeight="1">
      <c r="A11" s="11" t="s">
        <v>308</v>
      </c>
      <c r="B11" s="635" t="s">
        <v>425</v>
      </c>
      <c r="C11" s="636"/>
      <c r="D11" s="646" t="s">
        <v>426</v>
      </c>
      <c r="E11" s="647"/>
    </row>
    <row r="12" ht="18" customHeight="1">
      <c r="A12" s="11" t="s">
        <v>293</v>
      </c>
    </row>
    <row r="13" ht="18" customHeight="1">
      <c r="A13" s="11" t="s">
        <v>427</v>
      </c>
    </row>
    <row r="14" ht="18" customHeight="1"/>
    <row r="15" ht="24.6" customHeight="1">
      <c r="A15" s="11" t="s">
        <v>296</v>
      </c>
      <c r="Q15" s="640"/>
      <c r="R15" s="640"/>
      <c r="S15" s="640"/>
    </row>
    <row r="16" ht="18" customHeight="1">
      <c r="C16" s="648" t="s">
        <v>428</v>
      </c>
      <c r="D16" s="648"/>
      <c r="E16" s="648"/>
      <c r="F16" s="1" t="s">
        <v>429</v>
      </c>
    </row>
    <row r="17" ht="18" customHeight="1">
      <c r="A17" s="648" t="s">
        <v>294</v>
      </c>
      <c r="B17" s="648"/>
      <c r="C17" s="648"/>
    </row>
    <row r="18" ht="18" customHeight="1">
      <c r="A18" s="637" t="s">
        <v>430</v>
      </c>
      <c r="B18" s="638"/>
      <c r="C18" s="14">
        <f>'Format Φωτισμου (2)'!B9</f>
        <v>5</v>
      </c>
    </row>
    <row r="19" ht="18" customHeight="1">
      <c r="A19" s="637" t="s">
        <v>431</v>
      </c>
      <c r="B19" s="638"/>
      <c r="C19" s="14">
        <f>'Format Φωτισμου (2)'!B12</f>
        <v>35</v>
      </c>
    </row>
    <row r="20" ht="18" customHeight="1">
      <c r="A20" s="637" t="s">
        <v>432</v>
      </c>
      <c r="B20" s="638"/>
      <c r="C20" s="14">
        <f>C19/C18</f>
        <v>7</v>
      </c>
    </row>
    <row r="21" ht="18" customHeight="1">
      <c r="A21" s="642" t="s">
        <v>433</v>
      </c>
      <c r="B21" s="643"/>
      <c r="C21" s="644">
        <v>20</v>
      </c>
      <c r="D21" s="645"/>
      <c r="E21" s="635" t="s">
        <v>434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435</v>
      </c>
      <c r="B22" s="638"/>
      <c r="C22" s="179">
        <v>50</v>
      </c>
      <c r="D22" s="184" t="s">
        <v>436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437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438</v>
      </c>
      <c r="H26" s="1" t="s">
        <v>439</v>
      </c>
    </row>
    <row r="27" ht="18" customHeight="1">
      <c r="A27" s="11" t="s">
        <v>305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308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355</v>
      </c>
      <c r="Y1" s="136" t="e">
        <f>Royal!#REF!</f>
        <v>#REF!</v>
      </c>
      <c r="Z1" s="151" t="s">
        <v>356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357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358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356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359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252</v>
      </c>
      <c r="B6" s="683"/>
      <c r="C6" s="684"/>
      <c r="D6" s="676" t="s">
        <v>360</v>
      </c>
      <c r="E6" s="745" t="s">
        <v>361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363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364</v>
      </c>
      <c r="O7" s="99">
        <f>AA41/K7</f>
        <v>2110.4132453090647</v>
      </c>
      <c r="S7" s="60" t="s">
        <v>127</v>
      </c>
      <c r="T7" s="61" t="s">
        <v>365</v>
      </c>
      <c r="Z7" s="151"/>
      <c r="AA7" s="60"/>
      <c r="AB7" s="60"/>
    </row>
    <row r="8">
      <c r="A8" s="685"/>
      <c r="B8" s="686"/>
      <c r="C8" s="687"/>
      <c r="D8" s="677"/>
      <c r="E8" s="722" t="s">
        <v>366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368</v>
      </c>
      <c r="B10" s="726"/>
      <c r="C10" s="726"/>
      <c r="D10" s="726"/>
      <c r="E10" s="726"/>
      <c r="F10" s="726"/>
      <c r="G10" s="727" t="s">
        <v>369</v>
      </c>
      <c r="H10" s="727"/>
      <c r="I10" s="727" t="s">
        <v>370</v>
      </c>
      <c r="J10" s="727"/>
      <c r="K10" s="104"/>
      <c r="L10" s="728" t="s">
        <v>305</v>
      </c>
      <c r="M10" s="728"/>
      <c r="N10" s="728"/>
      <c r="O10" s="105"/>
      <c r="P10" s="97"/>
      <c r="Q10" s="97"/>
      <c r="R10" s="97"/>
      <c r="S10" s="90" t="s">
        <v>371</v>
      </c>
      <c r="T10" s="90" t="s">
        <v>372</v>
      </c>
      <c r="U10" s="90" t="s">
        <v>373</v>
      </c>
      <c r="V10" s="90" t="s">
        <v>374</v>
      </c>
      <c r="W10" s="60" t="s">
        <v>375</v>
      </c>
      <c r="X10" s="60" t="s">
        <v>221</v>
      </c>
      <c r="Z10" s="151"/>
      <c r="AA10" s="60"/>
      <c r="AB10" s="60"/>
    </row>
    <row r="11" ht="20.1" customHeight="1">
      <c r="A11" s="729" t="s">
        <v>376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377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378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279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379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283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380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381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382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383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384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308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385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369</v>
      </c>
      <c r="M20" s="715" t="s">
        <v>386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387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388</v>
      </c>
      <c r="B23" s="703"/>
      <c r="C23" s="703"/>
      <c r="D23" s="703"/>
      <c r="E23" s="704"/>
      <c r="F23" s="67" t="s">
        <v>389</v>
      </c>
      <c r="G23" s="68"/>
      <c r="H23" s="702" t="s">
        <v>390</v>
      </c>
      <c r="I23" s="703"/>
      <c r="J23" s="703"/>
      <c r="K23" s="703"/>
      <c r="L23" s="704"/>
      <c r="M23" s="67" t="s">
        <v>369</v>
      </c>
      <c r="N23" s="119"/>
      <c r="O23" s="119"/>
      <c r="P23" s="120"/>
      <c r="Q23" s="120"/>
      <c r="R23" s="120"/>
      <c r="S23" s="146"/>
      <c r="T23" s="147" t="s">
        <v>391</v>
      </c>
      <c r="U23" s="146" t="s">
        <v>392</v>
      </c>
      <c r="V23" s="146" t="s">
        <v>393</v>
      </c>
      <c r="W23" s="146" t="s">
        <v>394</v>
      </c>
      <c r="X23" s="146" t="s">
        <v>392</v>
      </c>
      <c r="Y23" s="146" t="s">
        <v>393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395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296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396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229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397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398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399</v>
      </c>
      <c r="C27" s="689"/>
      <c r="D27" s="689"/>
      <c r="E27" s="690"/>
      <c r="F27" s="73">
        <v>4</v>
      </c>
      <c r="G27" s="71"/>
      <c r="H27" s="72">
        <v>19</v>
      </c>
      <c r="I27" s="691" t="s">
        <v>400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401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402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403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230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404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231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405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406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407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408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409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410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411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232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412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233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413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414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415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416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234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417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418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289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290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252</v>
      </c>
      <c r="B1" s="20" t="s">
        <v>289</v>
      </c>
      <c r="C1" s="20" t="s">
        <v>290</v>
      </c>
      <c r="D1" s="20" t="s">
        <v>291</v>
      </c>
      <c r="E1" s="20" t="s">
        <v>292</v>
      </c>
      <c r="F1" s="20" t="s">
        <v>293</v>
      </c>
      <c r="G1" s="20" t="s">
        <v>294</v>
      </c>
      <c r="H1" s="20" t="s">
        <v>295</v>
      </c>
      <c r="I1" s="20" t="s">
        <v>296</v>
      </c>
      <c r="J1" s="759" t="s">
        <v>297</v>
      </c>
      <c r="K1" s="760"/>
      <c r="L1" s="760"/>
      <c r="M1" s="761"/>
      <c r="N1" s="20" t="s">
        <v>298</v>
      </c>
      <c r="O1" s="20" t="s">
        <v>296</v>
      </c>
      <c r="P1" s="20" t="s">
        <v>299</v>
      </c>
    </row>
    <row r="2">
      <c r="A2" s="21" t="s">
        <v>300</v>
      </c>
      <c r="B2" s="21" t="s">
        <v>301</v>
      </c>
      <c r="C2" s="21" t="s">
        <v>301</v>
      </c>
      <c r="D2" s="21" t="s">
        <v>302</v>
      </c>
      <c r="E2" s="21" t="s">
        <v>303</v>
      </c>
      <c r="F2" s="21" t="s">
        <v>304</v>
      </c>
      <c r="G2" s="21" t="s">
        <v>304</v>
      </c>
      <c r="H2" s="21" t="s">
        <v>304</v>
      </c>
      <c r="I2" s="21" t="s">
        <v>303</v>
      </c>
      <c r="J2" s="4" t="s">
        <v>305</v>
      </c>
      <c r="K2" s="1" t="s">
        <v>306</v>
      </c>
      <c r="L2" s="1" t="s">
        <v>307</v>
      </c>
      <c r="M2" s="18" t="s">
        <v>308</v>
      </c>
      <c r="N2" s="21" t="s">
        <v>309</v>
      </c>
      <c r="O2" s="21" t="s">
        <v>310</v>
      </c>
      <c r="P2" s="21" t="s">
        <v>304</v>
      </c>
    </row>
    <row r="3">
      <c r="A3" s="21" t="s">
        <v>311</v>
      </c>
      <c r="B3" s="21" t="s">
        <v>312</v>
      </c>
      <c r="C3" s="21" t="s">
        <v>312</v>
      </c>
      <c r="D3" s="21" t="s">
        <v>313</v>
      </c>
      <c r="E3" s="21" t="s">
        <v>314</v>
      </c>
      <c r="F3" s="21" t="s">
        <v>303</v>
      </c>
      <c r="G3" s="21" t="s">
        <v>303</v>
      </c>
      <c r="H3" s="21" t="s">
        <v>303</v>
      </c>
      <c r="I3" s="21" t="s">
        <v>315</v>
      </c>
      <c r="J3" s="49">
        <v>-2</v>
      </c>
      <c r="K3" s="10">
        <v>-5</v>
      </c>
      <c r="L3" s="10">
        <v>-5</v>
      </c>
      <c r="M3" s="18">
        <v>-2</v>
      </c>
      <c r="N3" s="21" t="s">
        <v>316</v>
      </c>
      <c r="O3" s="21" t="s">
        <v>317</v>
      </c>
      <c r="P3" s="21" t="s">
        <v>303</v>
      </c>
    </row>
    <row r="4">
      <c r="A4" s="21" t="s">
        <v>318</v>
      </c>
      <c r="B4" s="21" t="s">
        <v>319</v>
      </c>
      <c r="C4" s="21" t="s">
        <v>320</v>
      </c>
      <c r="D4" s="21">
        <v>1</v>
      </c>
      <c r="E4" s="21" t="s">
        <v>321</v>
      </c>
      <c r="F4" s="21">
        <v>1</v>
      </c>
      <c r="G4" s="21">
        <v>1</v>
      </c>
      <c r="H4" s="21">
        <v>2</v>
      </c>
      <c r="I4" s="21" t="s">
        <v>322</v>
      </c>
      <c r="J4" s="49">
        <v>-1</v>
      </c>
      <c r="K4" s="10">
        <v>-4</v>
      </c>
      <c r="L4" s="10">
        <v>-4</v>
      </c>
      <c r="M4" s="18">
        <v>-1</v>
      </c>
      <c r="N4" s="21" t="s">
        <v>323</v>
      </c>
      <c r="O4" s="21">
        <v>1</v>
      </c>
      <c r="P4" s="21" t="s">
        <v>324</v>
      </c>
    </row>
    <row r="5">
      <c r="A5" s="21" t="s">
        <v>325</v>
      </c>
      <c r="B5" s="21">
        <v>1</v>
      </c>
      <c r="C5" s="21" t="s">
        <v>326</v>
      </c>
      <c r="D5" s="21"/>
      <c r="E5" s="21" t="s">
        <v>327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328</v>
      </c>
      <c r="O5" s="21"/>
      <c r="P5" s="21">
        <v>1</v>
      </c>
    </row>
    <row r="6">
      <c r="A6" s="21" t="s">
        <v>329</v>
      </c>
      <c r="B6" s="21"/>
      <c r="C6" s="21" t="s">
        <v>330</v>
      </c>
      <c r="D6" s="21"/>
      <c r="E6" s="21" t="s">
        <v>331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332</v>
      </c>
      <c r="O6" s="21"/>
      <c r="P6" s="21"/>
    </row>
    <row r="7">
      <c r="A7" s="21">
        <v>2</v>
      </c>
      <c r="B7" s="21"/>
      <c r="C7" s="21" t="s">
        <v>319</v>
      </c>
      <c r="D7" s="21"/>
      <c r="E7" s="21" t="s">
        <v>333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334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335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336</v>
      </c>
      <c r="D17" s="763"/>
      <c r="E17" s="763"/>
      <c r="F17" s="764"/>
      <c r="G17" s="1"/>
      <c r="H17" s="1"/>
      <c r="I17" s="1"/>
    </row>
    <row r="18">
      <c r="A18" s="26" t="s">
        <v>337</v>
      </c>
      <c r="B18" s="27">
        <f>تسجيل2!C7</f>
        <v>1200</v>
      </c>
      <c r="C18" s="28" t="s">
        <v>338</v>
      </c>
      <c r="D18" s="28"/>
      <c r="E18" s="28"/>
      <c r="F18" s="25"/>
      <c r="G18" s="1"/>
      <c r="H18" s="1"/>
      <c r="I18" s="1"/>
    </row>
    <row r="19">
      <c r="A19" s="29" t="s">
        <v>276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339</v>
      </c>
      <c r="B29" s="766"/>
      <c r="C29" s="766"/>
      <c r="D29" s="766"/>
      <c r="E29" s="766"/>
      <c r="F29" s="766"/>
      <c r="G29" s="766"/>
      <c r="H29" s="767"/>
      <c r="I29" s="765" t="s">
        <v>340</v>
      </c>
      <c r="J29" s="766"/>
      <c r="K29" s="766"/>
      <c r="L29" s="766"/>
      <c r="M29" s="766"/>
      <c r="N29" s="766"/>
      <c r="O29" s="766"/>
      <c r="P29" s="767"/>
      <c r="Q29" s="765" t="s">
        <v>341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342</v>
      </c>
      <c r="B31" s="754"/>
      <c r="C31" s="36">
        <f>B19</f>
        <v>800</v>
      </c>
      <c r="D31" s="34" t="s">
        <v>343</v>
      </c>
      <c r="E31" s="36">
        <f>H34</f>
        <v>12</v>
      </c>
      <c r="F31" s="34"/>
      <c r="G31" s="34"/>
      <c r="H31" s="35"/>
      <c r="I31" s="753" t="s">
        <v>342</v>
      </c>
      <c r="J31" s="754"/>
      <c r="K31" s="36">
        <f>B19</f>
        <v>800</v>
      </c>
      <c r="L31" s="34" t="s">
        <v>343</v>
      </c>
      <c r="M31" s="36">
        <f>P34</f>
        <v>10</v>
      </c>
      <c r="N31" s="15"/>
      <c r="O31" s="34"/>
      <c r="P31" s="35"/>
      <c r="Q31" s="755" t="s">
        <v>342</v>
      </c>
      <c r="R31" s="756"/>
      <c r="S31" s="57">
        <f>B19</f>
        <v>800</v>
      </c>
      <c r="T31" s="47" t="s">
        <v>344</v>
      </c>
      <c r="U31" s="57">
        <f>INT((S31-4)/25)+1</f>
        <v>32</v>
      </c>
      <c r="V31" s="47"/>
      <c r="W31" s="47"/>
      <c r="X31" s="48"/>
    </row>
    <row r="32">
      <c r="A32" s="757" t="s">
        <v>343</v>
      </c>
      <c r="B32" s="758"/>
      <c r="C32" s="758"/>
      <c r="D32" s="34"/>
      <c r="E32" s="34"/>
      <c r="F32" s="38"/>
      <c r="G32" s="34"/>
      <c r="H32" s="35"/>
      <c r="I32" s="757" t="s">
        <v>345</v>
      </c>
      <c r="J32" s="758"/>
      <c r="K32" s="758"/>
      <c r="L32" s="34"/>
      <c r="M32" s="34"/>
      <c r="N32" s="54"/>
      <c r="O32" s="34"/>
      <c r="P32" s="35"/>
    </row>
    <row r="33">
      <c r="A33" s="39" t="s">
        <v>346</v>
      </c>
      <c r="B33" s="40" t="s">
        <v>347</v>
      </c>
      <c r="C33" s="40" t="s">
        <v>348</v>
      </c>
      <c r="D33" s="34"/>
      <c r="E33" s="40" t="s">
        <v>346</v>
      </c>
      <c r="F33" s="40" t="s">
        <v>347</v>
      </c>
      <c r="G33" s="40" t="s">
        <v>348</v>
      </c>
      <c r="H33" s="35"/>
      <c r="I33" s="39" t="s">
        <v>346</v>
      </c>
      <c r="J33" s="40" t="s">
        <v>347</v>
      </c>
      <c r="K33" s="40" t="s">
        <v>348</v>
      </c>
      <c r="L33" s="34"/>
      <c r="M33" s="40" t="s">
        <v>346</v>
      </c>
      <c r="N33" s="37" t="s">
        <v>347</v>
      </c>
      <c r="O33" s="40" t="s">
        <v>348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349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349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262</v>
      </c>
      <c r="B1" s="769"/>
      <c r="C1" s="17"/>
      <c r="D1" s="3" t="s">
        <v>263</v>
      </c>
      <c r="E1" s="3" t="s">
        <v>264</v>
      </c>
      <c r="F1" s="3" t="s">
        <v>265</v>
      </c>
      <c r="G1" s="3" t="s">
        <v>266</v>
      </c>
      <c r="H1" s="7" t="s">
        <v>267</v>
      </c>
    </row>
    <row r="2">
      <c r="A2" s="770"/>
      <c r="B2" s="771"/>
      <c r="C2" s="10" t="s">
        <v>268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269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253</v>
      </c>
      <c r="L5" s="10" t="s">
        <v>271</v>
      </c>
    </row>
    <row r="6">
      <c r="A6" s="770"/>
      <c r="B6" s="771"/>
      <c r="C6" s="10" t="s">
        <v>272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273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274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275</v>
      </c>
      <c r="B10" s="775"/>
      <c r="C10" s="17"/>
      <c r="D10" s="3" t="s">
        <v>263</v>
      </c>
      <c r="E10" s="3" t="s">
        <v>264</v>
      </c>
      <c r="F10" s="3" t="s">
        <v>265</v>
      </c>
      <c r="G10" s="3" t="s">
        <v>266</v>
      </c>
      <c r="H10" s="7" t="s">
        <v>267</v>
      </c>
    </row>
    <row r="11">
      <c r="A11" s="776"/>
      <c r="B11" s="777"/>
      <c r="C11" s="10" t="s">
        <v>268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269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253</v>
      </c>
      <c r="L13" s="10" t="s">
        <v>271</v>
      </c>
    </row>
    <row r="14">
      <c r="A14" s="776"/>
      <c r="B14" s="777"/>
      <c r="H14" s="18"/>
      <c r="J14" s="10" t="s">
        <v>273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272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276</v>
      </c>
      <c r="R15" s="10" t="s">
        <v>277</v>
      </c>
    </row>
    <row r="16">
      <c r="A16" s="778"/>
      <c r="B16" s="779"/>
      <c r="C16" s="19" t="s">
        <v>274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278</v>
      </c>
      <c r="B19" s="781"/>
      <c r="C19" s="17"/>
      <c r="D19" s="3" t="s">
        <v>263</v>
      </c>
      <c r="E19" s="3" t="s">
        <v>264</v>
      </c>
      <c r="F19" s="3" t="s">
        <v>265</v>
      </c>
      <c r="G19" s="3" t="s">
        <v>266</v>
      </c>
      <c r="H19" s="7" t="s">
        <v>267</v>
      </c>
    </row>
    <row r="20">
      <c r="A20" s="782"/>
      <c r="B20" s="783"/>
      <c r="C20" s="10" t="s">
        <v>268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269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253</v>
      </c>
      <c r="L22" s="10" t="s">
        <v>271</v>
      </c>
    </row>
    <row r="23">
      <c r="A23" s="782"/>
      <c r="B23" s="783"/>
      <c r="H23" s="18"/>
      <c r="J23" s="10" t="s">
        <v>273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272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274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279</v>
      </c>
      <c r="K2" s="1" t="s">
        <v>280</v>
      </c>
      <c r="O2" s="1" t="s">
        <v>281</v>
      </c>
    </row>
    <row r="3">
      <c r="A3" s="1" t="s">
        <v>252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282</v>
      </c>
      <c r="B4" s="1">
        <f>تسجيل2!C7</f>
        <v>1200</v>
      </c>
      <c r="J4" s="15">
        <v>4</v>
      </c>
      <c r="K4" s="15">
        <v>2</v>
      </c>
    </row>
    <row r="5">
      <c r="A5" s="1" t="s">
        <v>253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279</v>
      </c>
      <c r="B6" s="1">
        <f>'Cutting Ro-2'!L14</f>
        <v>12</v>
      </c>
      <c r="C6" s="1" t="s">
        <v>283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284</v>
      </c>
      <c r="B9" s="1">
        <f>O8</f>
        <v>5</v>
      </c>
      <c r="J9" s="15">
        <v>9</v>
      </c>
      <c r="K9" s="15">
        <v>4</v>
      </c>
    </row>
    <row r="10">
      <c r="A10" s="12" t="s">
        <v>285</v>
      </c>
      <c r="B10" s="13">
        <f>(((B4-(تسجيل2!C22*2))/200)+1)*B9</f>
        <v>32.5</v>
      </c>
      <c r="C10" s="636" t="s">
        <v>286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287</v>
      </c>
      <c r="B11" s="13">
        <f>E10/B9</f>
        <v>6.6</v>
      </c>
      <c r="C11" s="636" t="s">
        <v>286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252</v>
      </c>
      <c r="B1" s="1" t="s">
        <v>253</v>
      </c>
      <c r="C1" s="1" t="s">
        <v>254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255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256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257</v>
      </c>
      <c r="I7" s="786"/>
      <c r="J7" s="786"/>
      <c r="K7" s="787"/>
    </row>
    <row r="8">
      <c r="A8" s="4" t="s">
        <v>258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259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260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255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256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261</v>
      </c>
      <c r="I15" s="786"/>
      <c r="J15" s="786"/>
      <c r="K15" s="787"/>
    </row>
    <row r="16">
      <c r="A16" s="4" t="s">
        <v>258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259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260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252</v>
      </c>
      <c r="B1" s="20" t="s">
        <v>289</v>
      </c>
      <c r="C1" s="20" t="s">
        <v>290</v>
      </c>
      <c r="D1" s="20" t="s">
        <v>291</v>
      </c>
      <c r="E1" s="20" t="s">
        <v>292</v>
      </c>
      <c r="F1" s="20" t="s">
        <v>293</v>
      </c>
      <c r="G1" s="20" t="s">
        <v>294</v>
      </c>
      <c r="H1" s="20" t="s">
        <v>295</v>
      </c>
      <c r="I1" s="20" t="s">
        <v>296</v>
      </c>
      <c r="J1" s="759" t="s">
        <v>297</v>
      </c>
      <c r="K1" s="760"/>
      <c r="L1" s="760"/>
      <c r="M1" s="761"/>
      <c r="N1" s="20" t="s">
        <v>298</v>
      </c>
      <c r="O1" s="20" t="s">
        <v>296</v>
      </c>
      <c r="P1" s="20" t="s">
        <v>299</v>
      </c>
    </row>
    <row r="2">
      <c r="A2" s="21" t="s">
        <v>300</v>
      </c>
      <c r="B2" s="21" t="s">
        <v>301</v>
      </c>
      <c r="C2" s="21" t="s">
        <v>301</v>
      </c>
      <c r="D2" s="21" t="s">
        <v>302</v>
      </c>
      <c r="E2" s="21" t="s">
        <v>303</v>
      </c>
      <c r="F2" s="21" t="s">
        <v>304</v>
      </c>
      <c r="G2" s="21" t="s">
        <v>304</v>
      </c>
      <c r="H2" s="21" t="s">
        <v>304</v>
      </c>
      <c r="I2" s="21" t="s">
        <v>303</v>
      </c>
      <c r="J2" s="4" t="s">
        <v>305</v>
      </c>
      <c r="K2" s="1" t="s">
        <v>306</v>
      </c>
      <c r="L2" s="1" t="s">
        <v>307</v>
      </c>
      <c r="M2" s="18" t="s">
        <v>308</v>
      </c>
      <c r="N2" s="21" t="s">
        <v>309</v>
      </c>
      <c r="O2" s="21" t="s">
        <v>310</v>
      </c>
      <c r="P2" s="21" t="s">
        <v>304</v>
      </c>
    </row>
    <row r="3">
      <c r="A3" s="21" t="s">
        <v>311</v>
      </c>
      <c r="B3" s="21" t="s">
        <v>312</v>
      </c>
      <c r="C3" s="21" t="s">
        <v>312</v>
      </c>
      <c r="D3" s="21" t="s">
        <v>313</v>
      </c>
      <c r="E3" s="21" t="s">
        <v>314</v>
      </c>
      <c r="F3" s="21" t="s">
        <v>303</v>
      </c>
      <c r="G3" s="21" t="s">
        <v>303</v>
      </c>
      <c r="H3" s="21" t="s">
        <v>303</v>
      </c>
      <c r="I3" s="21" t="s">
        <v>315</v>
      </c>
      <c r="J3" s="49">
        <v>-2</v>
      </c>
      <c r="K3" s="10">
        <v>-5</v>
      </c>
      <c r="L3" s="10">
        <v>-5</v>
      </c>
      <c r="M3" s="18">
        <v>-2</v>
      </c>
      <c r="N3" s="21" t="s">
        <v>316</v>
      </c>
      <c r="O3" s="21" t="s">
        <v>317</v>
      </c>
      <c r="P3" s="21" t="s">
        <v>303</v>
      </c>
    </row>
    <row r="4">
      <c r="A4" s="21" t="s">
        <v>318</v>
      </c>
      <c r="B4" s="21" t="s">
        <v>319</v>
      </c>
      <c r="C4" s="21" t="s">
        <v>320</v>
      </c>
      <c r="D4" s="21">
        <v>1</v>
      </c>
      <c r="E4" s="21" t="s">
        <v>321</v>
      </c>
      <c r="F4" s="21">
        <v>1</v>
      </c>
      <c r="G4" s="21">
        <v>1</v>
      </c>
      <c r="H4" s="21">
        <v>2</v>
      </c>
      <c r="I4" s="21" t="s">
        <v>322</v>
      </c>
      <c r="J4" s="49">
        <v>-1</v>
      </c>
      <c r="K4" s="10">
        <v>-4</v>
      </c>
      <c r="L4" s="10">
        <v>-4</v>
      </c>
      <c r="M4" s="18">
        <v>-1</v>
      </c>
      <c r="N4" s="21" t="s">
        <v>323</v>
      </c>
      <c r="O4" s="21">
        <v>1</v>
      </c>
      <c r="P4" s="21" t="s">
        <v>324</v>
      </c>
    </row>
    <row r="5">
      <c r="A5" s="21" t="s">
        <v>325</v>
      </c>
      <c r="B5" s="21">
        <v>1</v>
      </c>
      <c r="C5" s="21" t="s">
        <v>326</v>
      </c>
      <c r="D5" s="21"/>
      <c r="E5" s="21" t="s">
        <v>327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328</v>
      </c>
      <c r="O5" s="21"/>
      <c r="P5" s="21">
        <v>1</v>
      </c>
    </row>
    <row r="6">
      <c r="A6" s="21" t="s">
        <v>329</v>
      </c>
      <c r="B6" s="21"/>
      <c r="C6" s="21" t="s">
        <v>330</v>
      </c>
      <c r="D6" s="21"/>
      <c r="E6" s="21" t="s">
        <v>331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332</v>
      </c>
      <c r="O6" s="21"/>
      <c r="P6" s="21"/>
    </row>
    <row r="7">
      <c r="A7" s="21">
        <v>2</v>
      </c>
      <c r="B7" s="21"/>
      <c r="C7" s="21" t="s">
        <v>319</v>
      </c>
      <c r="D7" s="21"/>
      <c r="E7" s="21" t="s">
        <v>333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334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335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336</v>
      </c>
      <c r="D17" s="763"/>
      <c r="E17" s="763"/>
      <c r="F17" s="764"/>
      <c r="G17" s="1"/>
      <c r="H17" s="1"/>
      <c r="I17" s="1"/>
    </row>
    <row r="18">
      <c r="A18" s="26" t="s">
        <v>337</v>
      </c>
      <c r="B18" s="27">
        <f>تسجيل1!C7</f>
        <v>500</v>
      </c>
      <c r="C18" s="28" t="s">
        <v>338</v>
      </c>
      <c r="D18" s="28"/>
      <c r="E18" s="28"/>
      <c r="F18" s="25"/>
      <c r="G18" s="1"/>
      <c r="H18" s="1"/>
      <c r="I18" s="1"/>
    </row>
    <row r="19">
      <c r="A19" s="29" t="s">
        <v>276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339</v>
      </c>
      <c r="B29" s="766"/>
      <c r="C29" s="766"/>
      <c r="D29" s="766"/>
      <c r="E29" s="766"/>
      <c r="F29" s="766"/>
      <c r="G29" s="766"/>
      <c r="H29" s="767"/>
      <c r="I29" s="765" t="s">
        <v>340</v>
      </c>
      <c r="J29" s="766"/>
      <c r="K29" s="766"/>
      <c r="L29" s="766"/>
      <c r="M29" s="766"/>
      <c r="N29" s="766"/>
      <c r="O29" s="766"/>
      <c r="P29" s="767"/>
      <c r="Q29" s="765" t="s">
        <v>341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342</v>
      </c>
      <c r="B31" s="754"/>
      <c r="C31" s="36">
        <f>B19</f>
        <v>800</v>
      </c>
      <c r="D31" s="34" t="s">
        <v>343</v>
      </c>
      <c r="E31" s="36">
        <f>H34</f>
        <v>12</v>
      </c>
      <c r="F31" s="34"/>
      <c r="G31" s="34"/>
      <c r="H31" s="35"/>
      <c r="I31" s="753" t="s">
        <v>342</v>
      </c>
      <c r="J31" s="754"/>
      <c r="K31" s="36">
        <f>B19</f>
        <v>800</v>
      </c>
      <c r="L31" s="34" t="s">
        <v>343</v>
      </c>
      <c r="M31" s="36">
        <f>P34</f>
        <v>10</v>
      </c>
      <c r="N31" s="15"/>
      <c r="O31" s="34"/>
      <c r="P31" s="35"/>
      <c r="Q31" s="755" t="s">
        <v>342</v>
      </c>
      <c r="R31" s="756"/>
      <c r="S31" s="57">
        <f>B19</f>
        <v>800</v>
      </c>
      <c r="T31" s="47" t="s">
        <v>344</v>
      </c>
      <c r="U31" s="57">
        <f>INT((S31-4)/25)+1</f>
        <v>32</v>
      </c>
      <c r="V31" s="47"/>
      <c r="W31" s="47"/>
      <c r="X31" s="48"/>
    </row>
    <row r="32">
      <c r="A32" s="757" t="s">
        <v>343</v>
      </c>
      <c r="B32" s="758"/>
      <c r="C32" s="758"/>
      <c r="D32" s="34"/>
      <c r="E32" s="34"/>
      <c r="F32" s="38"/>
      <c r="G32" s="34"/>
      <c r="H32" s="35"/>
      <c r="I32" s="757" t="s">
        <v>345</v>
      </c>
      <c r="J32" s="758"/>
      <c r="K32" s="758"/>
      <c r="L32" s="34"/>
      <c r="M32" s="34"/>
      <c r="N32" s="54"/>
      <c r="O32" s="34"/>
      <c r="P32" s="35"/>
    </row>
    <row r="33">
      <c r="A33" s="39" t="s">
        <v>346</v>
      </c>
      <c r="B33" s="40" t="s">
        <v>347</v>
      </c>
      <c r="C33" s="40" t="s">
        <v>348</v>
      </c>
      <c r="D33" s="34"/>
      <c r="E33" s="40" t="s">
        <v>346</v>
      </c>
      <c r="F33" s="40" t="s">
        <v>347</v>
      </c>
      <c r="G33" s="40" t="s">
        <v>348</v>
      </c>
      <c r="H33" s="35"/>
      <c r="I33" s="39" t="s">
        <v>346</v>
      </c>
      <c r="J33" s="40" t="s">
        <v>347</v>
      </c>
      <c r="K33" s="40" t="s">
        <v>348</v>
      </c>
      <c r="L33" s="34"/>
      <c r="M33" s="40" t="s">
        <v>346</v>
      </c>
      <c r="N33" s="37" t="s">
        <v>347</v>
      </c>
      <c r="O33" s="40" t="s">
        <v>348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349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349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262</v>
      </c>
      <c r="B1" s="769"/>
      <c r="C1" s="17"/>
      <c r="D1" s="3" t="s">
        <v>263</v>
      </c>
      <c r="E1" s="3" t="s">
        <v>264</v>
      </c>
      <c r="F1" s="3" t="s">
        <v>265</v>
      </c>
      <c r="G1" s="3" t="s">
        <v>266</v>
      </c>
      <c r="H1" s="7" t="s">
        <v>267</v>
      </c>
    </row>
    <row r="2">
      <c r="A2" s="770"/>
      <c r="B2" s="771"/>
      <c r="C2" s="10" t="s">
        <v>268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269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253</v>
      </c>
      <c r="L5" s="10" t="s">
        <v>271</v>
      </c>
    </row>
    <row r="6">
      <c r="A6" s="770"/>
      <c r="B6" s="771"/>
      <c r="C6" s="10" t="s">
        <v>272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273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274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275</v>
      </c>
      <c r="B10" s="775"/>
      <c r="C10" s="17"/>
      <c r="D10" s="3" t="s">
        <v>263</v>
      </c>
      <c r="E10" s="3" t="s">
        <v>264</v>
      </c>
      <c r="F10" s="3" t="s">
        <v>265</v>
      </c>
      <c r="G10" s="3" t="s">
        <v>266</v>
      </c>
      <c r="H10" s="7" t="s">
        <v>267</v>
      </c>
    </row>
    <row r="11">
      <c r="A11" s="776"/>
      <c r="B11" s="777"/>
      <c r="C11" s="10" t="s">
        <v>268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269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253</v>
      </c>
      <c r="L13" s="10" t="s">
        <v>271</v>
      </c>
    </row>
    <row r="14">
      <c r="A14" s="776"/>
      <c r="B14" s="777"/>
      <c r="H14" s="18"/>
      <c r="J14" s="10" t="s">
        <v>273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272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276</v>
      </c>
      <c r="R15" s="10" t="s">
        <v>277</v>
      </c>
    </row>
    <row r="16">
      <c r="A16" s="778"/>
      <c r="B16" s="779"/>
      <c r="C16" s="19" t="s">
        <v>274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278</v>
      </c>
      <c r="B19" s="781"/>
      <c r="C19" s="17"/>
      <c r="D19" s="3" t="s">
        <v>263</v>
      </c>
      <c r="E19" s="3" t="s">
        <v>264</v>
      </c>
      <c r="F19" s="3" t="s">
        <v>265</v>
      </c>
      <c r="G19" s="3" t="s">
        <v>266</v>
      </c>
      <c r="H19" s="7" t="s">
        <v>267</v>
      </c>
    </row>
    <row r="20">
      <c r="A20" s="782"/>
      <c r="B20" s="783"/>
      <c r="C20" s="10" t="s">
        <v>268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269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253</v>
      </c>
      <c r="L22" s="10" t="s">
        <v>271</v>
      </c>
    </row>
    <row r="23">
      <c r="A23" s="782"/>
      <c r="B23" s="783"/>
      <c r="H23" s="18"/>
      <c r="J23" s="10" t="s">
        <v>273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272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274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279</v>
      </c>
      <c r="K2" s="1" t="s">
        <v>280</v>
      </c>
      <c r="O2" s="1" t="s">
        <v>281</v>
      </c>
    </row>
    <row r="3">
      <c r="A3" s="1" t="s">
        <v>252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282</v>
      </c>
      <c r="B4" s="1">
        <f>تسجيل1!C7</f>
        <v>500</v>
      </c>
      <c r="J4" s="15">
        <v>4</v>
      </c>
      <c r="K4" s="15">
        <v>2</v>
      </c>
    </row>
    <row r="5">
      <c r="A5" s="1" t="s">
        <v>253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279</v>
      </c>
      <c r="B6" s="1">
        <f>'Cutting Ro-1'!L14</f>
        <v>12</v>
      </c>
      <c r="C6" s="1" t="s">
        <v>283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284</v>
      </c>
      <c r="B9" s="1">
        <f>O8</f>
        <v>5</v>
      </c>
      <c r="J9" s="15">
        <v>9</v>
      </c>
      <c r="K9" s="15">
        <v>4</v>
      </c>
    </row>
    <row r="10">
      <c r="A10" s="12" t="s">
        <v>285</v>
      </c>
      <c r="B10" s="13">
        <f>(((B4-(تسجيل1!C22*2))/200)+1)*B9</f>
        <v>15</v>
      </c>
      <c r="C10" s="636" t="s">
        <v>286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287</v>
      </c>
      <c r="B11" s="13">
        <f>E10/B9</f>
        <v>3</v>
      </c>
      <c r="C11" s="636" t="s">
        <v>286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288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270633.10219646036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77673.605921052629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100555.6230877193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6765.8275549115087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6213.88847368421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2873.017802506266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3.5</v>
      </c>
      <c r="AL8" s="470" t="s">
        <v>177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498981.78031602845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345557.25</v>
      </c>
      <c r="AU22" s="480"/>
      <c r="BC22" s="414"/>
      <c r="BD22" s="472" t="s">
        <v>163</v>
      </c>
      <c r="BE22" s="473">
        <f>'بيرسا و لوفرز'!R140</f>
        <v>263488.59333333338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5197.7268782919627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17277.8625</v>
      </c>
      <c r="AU23" s="480"/>
      <c r="AV23" s="481"/>
      <c r="BC23" s="414"/>
      <c r="BD23" s="472" t="s">
        <v>127</v>
      </c>
      <c r="BE23" s="474">
        <f>BE22/(BE33*BE34/10000)</f>
        <v>19672.136279926337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179</v>
      </c>
      <c r="AH28" s="579" t="s">
        <v>199</v>
      </c>
      <c r="AI28" s="579" t="s">
        <v>169</v>
      </c>
      <c r="AJ28" s="579" t="s">
        <v>200</v>
      </c>
      <c r="AK28" s="579" t="s">
        <v>182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201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202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203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204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205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206</v>
      </c>
      <c r="AT41" s="611"/>
      <c r="AU41" s="611"/>
      <c r="AW41" s="485"/>
      <c r="BD41" s="416" t="s">
        <v>207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208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193624.145</v>
      </c>
      <c r="AU42" s="480"/>
      <c r="BD42" s="472" t="s">
        <v>163</v>
      </c>
      <c r="BE42" s="473">
        <f>'بيرسا و لوفرز'!BM139</f>
        <v>203596.01166666666</v>
      </c>
      <c r="BF42" s="480"/>
      <c r="BN42" s="415"/>
    </row>
    <row r="43" ht="42" customHeight="1">
      <c r="A43" s="589" t="s">
        <v>209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75813.400000000009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9681.20725</v>
      </c>
      <c r="AU43" s="480"/>
      <c r="AV43" s="481"/>
      <c r="BD43" s="472" t="s">
        <v>127</v>
      </c>
      <c r="BE43" s="474">
        <f>BE42/(BE53*BE54/10000)</f>
        <v>10179.800583333334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3032.5360000000005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210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211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212</v>
      </c>
      <c r="T52" s="459" t="s">
        <v>213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130533.52500000001</v>
      </c>
      <c r="AT57" s="608"/>
      <c r="BD57" s="607">
        <f>('بيرسا و لوفرز'!BA85+'بيرسا و لوفرز'!BP133+'بيرسا و لوفرز'!BQ125)*1.35</f>
        <v>130533.52500000001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6526.67625</v>
      </c>
      <c r="AT58" s="599"/>
      <c r="BD58" s="598">
        <f>BD57/(BE53*BE54/10000)</f>
        <v>6526.67625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214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208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95212.8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3808.512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210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211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212</v>
      </c>
      <c r="T70" s="459" t="s">
        <v>213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215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216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CDABA7DE-F9DA-4C48-9B8A-F352BAA3FDFE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40E32796-A839-4C8A-98F4-8ABFBC1223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74C64031-0D87-4036-AF26-EA9375E0E135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CE2DDA5D-0B2F-4987-8062-114D1C086FD8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542FEC88-5115-4F3B-BBD9-1ED48EFF5D23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626FA4C2-A002-4668-8849-64A0ED5C595D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5BA7BF59-4A16-42E3-B947-F9A8499CC11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33275987-8E59-4367-8403-6C54CD4628DF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487AC20E-6874-47DB-888A-72D03092A0C5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7CB29B1D-56E8-4FE4-A89F-D76AB2476903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4D024040-BF7E-4F79-9D58-3064D04EB423}">
          <x14:formula1>
            <xm:f>wavy2!$A$19:$A$20</xm:f>
          </x14:formula1>
          <xm:sqref>BE9</xm:sqref>
        </x14:dataValidation>
        <x14:dataValidation type="list" allowBlank="1" showInputMessage="1" showErrorMessage="1" xr:uid="{752FC515-4C1F-4FBF-ABB4-0AD37168954E}">
          <x14:formula1>
            <xm:f>wavy1!$A$19:$A$20</xm:f>
          </x14:formula1>
          <xm:sqref>AT9</xm:sqref>
        </x14:dataValidation>
        <x14:dataValidation type="list" allowBlank="1" showInputMessage="1" showErrorMessage="1" xr:uid="{49701559-3AAD-4601-894A-301FB48F62E4}">
          <x14:formula1>
            <xm:f>Sheet2!$B$5:$B$7</xm:f>
          </x14:formula1>
          <xm:sqref>T25 T46 T64</xm:sqref>
        </x14:dataValidation>
        <x14:dataValidation type="list" allowBlank="1" showInputMessage="1" showErrorMessage="1" xr:uid="{91583336-165B-4869-9545-8B9921AF4C4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F45CDC68-B34A-4349-944F-01867D056F16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FFDCD990-405F-459E-91CA-4B0A5251FD42}">
          <x14:formula1>
            <xm:f>Sheet2!$C$5:$C$6</xm:f>
          </x14:formula1>
          <xm:sqref>T26</xm:sqref>
        </x14:dataValidation>
        <x14:dataValidation type="list" allowBlank="1" showInputMessage="1" showErrorMessage="1" xr:uid="{21F9C6A7-5C4D-4051-99A8-6349487A7C18}">
          <x14:formula1>
            <xm:f>Sheet2!$A$5</xm:f>
          </x14:formula1>
          <xm:sqref>U31</xm:sqref>
        </x14:dataValidation>
        <x14:dataValidation type="list" allowBlank="1" showInputMessage="1" showErrorMessage="1" xr:uid="{787C832D-464A-490E-B8B0-541B41557D66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50B30E94-943D-45D7-97BB-99E79CC3E3EB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CF74C4AE-526D-44AE-BAEC-56560FD5DE74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1230A59B-25A3-4078-B580-A61919222D17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763F02DD-B496-4B06-B5E9-FF475A217B82}">
          <x14:formula1>
            <xm:f>Sheet2!$D$5:$D$6</xm:f>
          </x14:formula1>
          <xm:sqref>T32 T53 T71</xm:sqref>
        </x14:dataValidation>
        <x14:dataValidation type="list" allowBlank="1" showInputMessage="1" showErrorMessage="1" xr:uid="{95A6C3B0-0E17-46B2-BE84-8809886E782F}">
          <x14:formula1>
            <xm:f>Sheet2!$A$6</xm:f>
          </x14:formula1>
          <xm:sqref>AC36</xm:sqref>
        </x14:dataValidation>
        <x14:dataValidation type="list" allowBlank="1" showInputMessage="1" showErrorMessage="1" xr:uid="{D2721735-5481-42CB-B203-2F1E655ADAEE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252</v>
      </c>
      <c r="B1" s="1" t="s">
        <v>253</v>
      </c>
      <c r="C1" s="1" t="s">
        <v>254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255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256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257</v>
      </c>
      <c r="I7" s="786"/>
      <c r="J7" s="786"/>
      <c r="K7" s="787"/>
    </row>
    <row r="8">
      <c r="A8" s="4" t="s">
        <v>258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259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260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255</v>
      </c>
      <c r="C14" s="1">
        <f>IF(Format!N8=1,B2,IF(Format!N8=2,'Format διαστασης οδηγου'!B2-11,"-------"))</f>
        <v>800</v>
      </c>
      <c r="K14" s="8"/>
    </row>
    <row r="15">
      <c r="A15" s="4" t="s">
        <v>256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261</v>
      </c>
      <c r="I15" s="786"/>
      <c r="J15" s="786"/>
      <c r="K15" s="787"/>
    </row>
    <row r="16">
      <c r="A16" s="4" t="s">
        <v>258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259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260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45370.497501469908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552.5</v>
      </c>
      <c r="K6" s="240">
        <f>B6*J6</f>
        <v>4420</v>
      </c>
      <c r="L6" s="241">
        <f>(K6)/$G$79</f>
        <v>0.021231696911299541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3038.75</v>
      </c>
      <c r="K7" s="240">
        <f>B7*J7</f>
        <v>10635.625</v>
      </c>
      <c r="L7" s="241">
        <f>(K7)/$G$79</f>
        <v>0.051088770692814527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3640</v>
      </c>
      <c r="K8" s="240">
        <f>B8*J8</f>
        <v>5460</v>
      </c>
      <c r="L8" s="241">
        <f>(K8)/$G$79</f>
        <v>0.026227390302193551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20515.625</v>
      </c>
      <c r="L9" s="244">
        <f>Table1[[#Totals],[اجمالي]]/$G$79</f>
        <v>0.098547857906307615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15150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7575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0.0038428410699184691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0.0036026635030485649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0.0016332074547153494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0.0003602663503048565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0.001441065401219426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0.00043231962036582779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0.024017756686990431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0.00019214205349592345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0.017292784814633113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0.0038428410699184691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0.056657888024610428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910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65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0.0003602663503048565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0.0003602663503048565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0.00060044391717476082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0.0036026635030485649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0.00096071026747961727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0.0060076415393058736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0.0019511267077036703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0.016091896980283592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0.032827469839778529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0.06276248545538432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0.00722934476278412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0.016812429680893304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0.024041774443677423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0.55639462434834486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0.055639462434834489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0.61203408678317939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0.0038428410699184691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0.002882130802438852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0.005764261604877704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0.0043231962036582782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0.018733850215852537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0.014050387661889404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0.018733850215852537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0.012681375530730949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0.019214205349592346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0.01441065401219426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0.022096336152031198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0.0092228185678043268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0.14595590738684086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208179.30938189256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270633.10219646036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36821D4A-920A-464B-B5CD-55624BB5BE7C}">
      <formula1>$N$2:$N$20</formula1>
    </dataValidation>
    <dataValidation type="list" allowBlank="1" showInputMessage="1" showErrorMessage="1" sqref="G63:G75" xr:uid="{3740F92A-8CDB-4834-9F64-B8572D3813E4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45370.497501493053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552.5</v>
      </c>
      <c r="K6" s="240">
        <f>B6*J6</f>
        <v>2762.5</v>
      </c>
      <c r="L6" s="241">
        <f>(K6)/$G$84</f>
        <v>0.0071971565729824728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3038.75</v>
      </c>
      <c r="K7" s="240">
        <f ref="K7:K9" t="shared" si="2">B7*J7</f>
        <v>24310</v>
      </c>
      <c r="L7" s="241">
        <f>(K7)/$G$84</f>
        <v>0.06333497784224576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1836.25</v>
      </c>
      <c r="K8" s="240">
        <f t="shared" si="2"/>
        <v>5508.75</v>
      </c>
      <c r="L8" s="241">
        <f>(K8)/$G$84</f>
        <v>0.014351976930829754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3640</v>
      </c>
      <c r="K9" s="240">
        <f t="shared" si="2"/>
        <v>7280</v>
      </c>
      <c r="L9" s="241">
        <f>(K9)/$G$84</f>
        <v>0.018966624380565573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39861.25</v>
      </c>
      <c r="L10" s="244">
        <f>Table118[[#Totals],[اجمالي]]/$G$84</f>
        <v>0.10385073572662355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15150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7575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0.0031263666561371826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0.0026053055467809855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0.0011072548573819189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0.0005861937480257217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0.002501093324909746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0.00031263666561371826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0.031263666561371826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0.00010421222187123942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0.0031263666561371826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0.044733096238229519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65</v>
      </c>
      <c r="J31" s="243">
        <f ref="J31:J32" t="shared" si="8">H31*$H$2/1000</f>
        <v>910</v>
      </c>
      <c r="K31" s="240">
        <f ref="K31:K32" t="shared" si="9">B31*J31</f>
        <v>7280</v>
      </c>
      <c r="L31" s="241">
        <f>(K31)/$G$84</f>
        <v>0.018966624380565573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65</v>
      </c>
      <c r="J32" s="243">
        <f t="shared" si="8"/>
        <v>97.5</v>
      </c>
      <c r="K32" s="240">
        <f t="shared" si="9"/>
        <v>3120</v>
      </c>
      <c r="L32" s="251">
        <f>(K32)/$G$84</f>
        <v>0.0081285533059566751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10400</v>
      </c>
      <c r="L33" s="244">
        <f>Table1624[[#Totals],[اجمالي]]/$G$84</f>
        <v>0.02709517768652225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0.0062527333122743651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0.000547114164824007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0.00019539791600857391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0.00019539791600857391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0.00065132638669524638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0.0019539791600857392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0.00052106110935619713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0.023447749921028868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0.028658361014590839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0.0020842444374247885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0.0020842444374247885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0.066591609775722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0.0049012310598817287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0.091185694137334489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0.096086925197216219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0.52783404806436163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0.052783404806436167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0.5806174528707978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0.0031263666561371826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0.0015631833280685913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0.0046895499842057736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0.0031263666561371826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0.010160691632445843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0.010160691632445843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0.010160691632445843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0.0068780066435018021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0.011723874960514434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0.0078159166403429566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0.0059922027575962664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0.005627459981046929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0.081025002504888644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383832.13870463724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498981.78031602845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B9FE8A72-2F21-4F21-BB39-A27D32415699}">
      <formula1>$U$4:$U$5</formula1>
    </dataValidation>
    <dataValidation type="list" allowBlank="1" showInputMessage="1" showErrorMessage="1" sqref="F72:F80" xr:uid="{2ED5DAFE-0EF1-48EF-95C3-489A2984D3C1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440</v>
      </c>
      <c r="B1" s="271">
        <f>(F1*D1)/10000</f>
        <v>12.5</v>
      </c>
      <c r="C1" s="272" t="s">
        <v>424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441</v>
      </c>
      <c r="B2" s="187" t="s">
        <v>442</v>
      </c>
      <c r="C2" s="187" t="s">
        <v>443</v>
      </c>
      <c r="D2" s="187" t="s">
        <v>64</v>
      </c>
      <c r="E2" s="187" t="s">
        <v>444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445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45370.497501527774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446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447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448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449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450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552.5</v>
      </c>
      <c r="V6" s="240">
        <f>M6*U6</f>
        <v>1657.5</v>
      </c>
      <c r="W6" s="241">
        <f>(V6)/$R$71</f>
        <v>0.027741083659616441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451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452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1852.5</v>
      </c>
      <c r="V7" s="240">
        <f>M7*U7</f>
        <v>4631.25</v>
      </c>
      <c r="W7" s="241">
        <f>(V7)/$R$71</f>
        <v>0.077511851401869475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453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454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6288.75</v>
      </c>
      <c r="W8" s="244">
        <f>Table158[[#Totals],[اجمالي]]/$R$71</f>
        <v>0.10525293506148591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455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456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457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458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459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460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0.00669468082283353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461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462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0.00284523934970425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463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464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0.001255252654281287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0.0020084042468500591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465</v>
      </c>
      <c r="O15" s="214"/>
      <c r="P15" s="214"/>
      <c r="Q15" s="214"/>
      <c r="R15" s="401" t="s">
        <v>466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467</v>
      </c>
      <c r="O16" s="214"/>
      <c r="P16" s="214"/>
      <c r="Q16" s="214"/>
      <c r="R16" s="211" t="s">
        <v>468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0.040168084937001185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0.052971662010670308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469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470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0.00075315159256877213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0.00075315159256877213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0.00041841755142709564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0.002510505308562574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0.0013389361645667062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0.0036996920336711614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0.03765757962843861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0.046025930656980518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0.01338936164566706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0.01338936164566706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0.11993608782011833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471</v>
      </c>
      <c r="O49" s="214"/>
      <c r="P49" s="211"/>
      <c r="Q49" s="216"/>
      <c r="R49" s="247" t="s">
        <v>472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473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0.3908647556656214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0.03908647556656214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0.42995123123218354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0.00669468082283353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0.00669468082283353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0.010042021234250296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0.010042021234250296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0.043515425348417951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0.032636569011313461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0.021757712674208975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0.0441848934307013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0.029289228599896695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0.0769888294625856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0.010042021234250296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0.29188808387554194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59748.927631578947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77673.605921052629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8CE9451A-5F08-40F9-8869-0B11207F380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440</v>
      </c>
      <c r="B1" s="271">
        <f>(F1*D1)/10000</f>
        <v>35</v>
      </c>
      <c r="C1" s="272" t="s">
        <v>424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441</v>
      </c>
      <c r="B2" s="187" t="s">
        <v>442</v>
      </c>
      <c r="C2" s="187" t="s">
        <v>443</v>
      </c>
      <c r="D2" s="187" t="s">
        <v>64</v>
      </c>
      <c r="E2" s="187" t="s">
        <v>444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445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45370.49750153935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446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448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450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552.5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452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1852.5</v>
      </c>
      <c r="V7" s="240">
        <f>M7*U7</f>
        <v>7410</v>
      </c>
      <c r="W7" s="241">
        <f>(V7)/$R$71</f>
        <v>0.095797725718398577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454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7410</v>
      </c>
      <c r="W8" s="244">
        <f>Table15855[[#Totals],[اجمالي]]/$R$71</f>
        <v>0.095797725718398577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456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458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460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0.0051712672452576824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462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0.002197788579234515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464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0.00096961260848581546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0.0062055206943092195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465</v>
      </c>
      <c r="O15" s="214"/>
      <c r="P15" s="214"/>
      <c r="Q15" s="214"/>
      <c r="R15" s="401" t="s">
        <v>466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467</v>
      </c>
      <c r="O16" s="214"/>
      <c r="P16" s="214"/>
      <c r="Q16" s="214"/>
      <c r="R16" s="211" t="s">
        <v>468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0.014544189127287232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469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470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1820</v>
      </c>
      <c r="W21" s="241">
        <f>(V21)/$R$71</f>
        <v>0.023529265965922457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780</v>
      </c>
      <c r="W22" s="251">
        <f>(V22)/$R$71</f>
        <v>0.01008397112825248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2600</v>
      </c>
      <c r="W23" s="244">
        <f>Table166241[[#Totals],[اجمالي]]/$R$71</f>
        <v>0.033613237094174936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0.0039129255489116473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0.0005817675650914893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0.0005817675650914893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0.00096961260848581546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0.0058176756509148927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0.0015513801735773049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0.0028578055829055616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0.039818757788484156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0.058176756509148927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0.071104924622293134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0.0018782042634775907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0.0018782042634775907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0.18912978214185963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471</v>
      </c>
      <c r="O49" s="214"/>
      <c r="P49" s="211"/>
      <c r="Q49" s="216"/>
      <c r="R49" s="247" t="s">
        <v>472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473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0.49375259657720355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0.049375259657720355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0.54312785623492388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0.010342534490515365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0.010342534490515365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0.0051712672452576824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0.0077569008678865237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0.016806618547087468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0.012604963910315601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0.031027603471546095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0.029734786660231674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0.12378720968335578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77350.479298245613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100555.6230877193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D7923503-BB9C-4343-8F8A-6034F726A2AE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474</v>
      </c>
      <c r="B2" s="324" t="s">
        <v>198</v>
      </c>
      <c r="C2" s="324" t="s">
        <v>475</v>
      </c>
      <c r="E2" s="324" t="s">
        <v>9</v>
      </c>
      <c r="F2" s="323" t="s">
        <v>30</v>
      </c>
      <c r="H2" s="329" t="s">
        <v>9</v>
      </c>
      <c r="I2" s="361" t="s">
        <v>476</v>
      </c>
      <c r="J2" s="362" t="s">
        <v>477</v>
      </c>
      <c r="K2" s="363" t="s">
        <v>478</v>
      </c>
      <c r="M2" s="364" t="s">
        <v>479</v>
      </c>
      <c r="N2" s="364" t="s">
        <v>480</v>
      </c>
      <c r="O2" s="0" t="s">
        <v>9</v>
      </c>
      <c r="P2" s="365"/>
      <c r="R2" s="340"/>
      <c r="S2" s="323" t="s">
        <v>198</v>
      </c>
      <c r="T2" s="323" t="s">
        <v>475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476</v>
      </c>
      <c r="AA2" s="331" t="s">
        <v>477</v>
      </c>
      <c r="AB2" s="331" t="s">
        <v>478</v>
      </c>
      <c r="AD2" s="0" t="s">
        <v>479</v>
      </c>
      <c r="AE2" s="0" t="s">
        <v>480</v>
      </c>
      <c r="AF2" s="0" t="s">
        <v>9</v>
      </c>
      <c r="AG2" s="365"/>
    </row>
    <row r="3" ht="22.5" customHeight="1">
      <c r="A3" s="330" t="s">
        <v>481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482</v>
      </c>
      <c r="I3" s="366">
        <v>2</v>
      </c>
      <c r="J3" s="367">
        <v>75</v>
      </c>
      <c r="K3" s="368">
        <f ref="K3:K10" t="shared" si="0">I3*J3</f>
        <v>150</v>
      </c>
      <c r="M3" s="369" t="s">
        <v>483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9" t="str">
        <f>IF((N6&gt;0),"OK","WAIT")</f>
        <v>WAIT</v>
      </c>
      <c r="P3" s="365"/>
      <c r="R3" s="340"/>
      <c r="S3" s="383" t="s">
        <v>449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484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483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481</v>
      </c>
      <c r="B4" s="331">
        <v>2.7</v>
      </c>
      <c r="C4" s="331">
        <v>13.5</v>
      </c>
      <c r="E4" s="331" t="s">
        <v>485</v>
      </c>
      <c r="F4" s="331">
        <f>Sheet2!B43</f>
        <v>160</v>
      </c>
      <c r="H4" s="565" t="s">
        <v>486</v>
      </c>
      <c r="I4" s="366">
        <v>2</v>
      </c>
      <c r="J4" s="367"/>
      <c r="K4" s="368">
        <f t="shared" si="0"/>
        <v>0</v>
      </c>
      <c r="M4" s="369" t="s">
        <v>487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485</v>
      </c>
      <c r="W4" s="331">
        <f>Sheet2!B43</f>
        <v>160</v>
      </c>
      <c r="X4" s="323"/>
      <c r="Y4" s="339" t="s">
        <v>486</v>
      </c>
      <c r="Z4" s="375">
        <v>2</v>
      </c>
      <c r="AA4" s="331">
        <v>15</v>
      </c>
      <c r="AB4" s="331">
        <f t="shared" si="1"/>
        <v>30</v>
      </c>
      <c r="AD4" s="388" t="s">
        <v>487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481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488</v>
      </c>
      <c r="I5" s="366">
        <v>16</v>
      </c>
      <c r="J5" s="367">
        <v>10</v>
      </c>
      <c r="K5" s="368">
        <f t="shared" si="0"/>
        <v>160</v>
      </c>
      <c r="M5" s="369" t="s">
        <v>489</v>
      </c>
      <c r="N5" s="369">
        <f>IF((تسعير!AL8="خشبي"),'شماسي و كانتليفر'!F8,IF((تسعير!AL8="سادة"),'شماسي و كانتليفر'!F9,0))</f>
        <v>50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490</v>
      </c>
      <c r="Z5" s="375">
        <v>1</v>
      </c>
      <c r="AA5" s="331">
        <v>150</v>
      </c>
      <c r="AB5" s="331">
        <f t="shared" si="1"/>
        <v>150</v>
      </c>
      <c r="AD5" s="388" t="s">
        <v>489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481</v>
      </c>
      <c r="B6" s="331">
        <v>3.5</v>
      </c>
      <c r="C6" s="331">
        <v>14.6</v>
      </c>
      <c r="E6" s="331" t="s">
        <v>491</v>
      </c>
      <c r="F6" s="331">
        <v>250</v>
      </c>
      <c r="H6" s="565" t="s">
        <v>492</v>
      </c>
      <c r="I6" s="366">
        <v>16</v>
      </c>
      <c r="J6" s="367">
        <v>1</v>
      </c>
      <c r="K6" s="368">
        <f t="shared" si="0"/>
        <v>16</v>
      </c>
      <c r="M6" s="369" t="s">
        <v>493</v>
      </c>
      <c r="N6" s="369">
        <f>(N5+'شماسي و كانتليفر'!F10)*(N4)</f>
        <v>0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494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493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496</v>
      </c>
      <c r="I7" s="366">
        <v>2</v>
      </c>
      <c r="J7" s="367">
        <v>80</v>
      </c>
      <c r="K7" s="368">
        <f t="shared" si="0"/>
        <v>160</v>
      </c>
      <c r="M7" s="369" t="s">
        <v>497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498</v>
      </c>
      <c r="Z7" s="375">
        <v>1</v>
      </c>
      <c r="AA7" s="331">
        <v>150</v>
      </c>
      <c r="AB7" s="331">
        <f t="shared" si="1"/>
        <v>150</v>
      </c>
      <c r="AD7" s="388" t="s">
        <v>497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50</v>
      </c>
      <c r="H8" s="565" t="s">
        <v>499</v>
      </c>
      <c r="I8" s="366">
        <v>2</v>
      </c>
      <c r="J8" s="367">
        <v>20</v>
      </c>
      <c r="K8" s="368">
        <f t="shared" si="0"/>
        <v>40</v>
      </c>
      <c r="M8" s="369" t="s">
        <v>500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50</v>
      </c>
      <c r="X8" s="323"/>
      <c r="Y8" s="339" t="s">
        <v>501</v>
      </c>
      <c r="Z8" s="375">
        <v>2</v>
      </c>
      <c r="AA8" s="331">
        <v>50</v>
      </c>
      <c r="AB8" s="331">
        <f t="shared" si="1"/>
        <v>100</v>
      </c>
      <c r="AD8" s="388" t="s">
        <v>500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502</v>
      </c>
      <c r="I9" s="366">
        <v>7</v>
      </c>
      <c r="J9" s="367">
        <v>8</v>
      </c>
      <c r="K9" s="368">
        <f t="shared" si="0"/>
        <v>56</v>
      </c>
      <c r="M9" s="369" t="s">
        <v>503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504</v>
      </c>
      <c r="Z9" s="375">
        <v>36</v>
      </c>
      <c r="AA9" s="331">
        <v>25</v>
      </c>
      <c r="AB9" s="331">
        <f t="shared" si="1"/>
        <v>900</v>
      </c>
      <c r="AD9" s="388" t="s">
        <v>503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224</v>
      </c>
      <c r="F10" s="331">
        <f>W11</f>
        <v>215</v>
      </c>
      <c r="H10" s="565" t="s">
        <v>505</v>
      </c>
      <c r="I10" s="366">
        <v>8</v>
      </c>
      <c r="J10" s="367">
        <v>50</v>
      </c>
      <c r="K10" s="368">
        <f t="shared" si="0"/>
        <v>400</v>
      </c>
      <c r="M10" s="369" t="s">
        <v>506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4832</v>
      </c>
      <c r="O10" s="369"/>
      <c r="P10" s="365"/>
      <c r="R10" s="340"/>
      <c r="S10" s="331"/>
      <c r="T10" s="331"/>
      <c r="U10" s="323"/>
      <c r="V10" s="331" t="s">
        <v>507</v>
      </c>
      <c r="W10" s="331">
        <v>90</v>
      </c>
      <c r="X10" s="323"/>
      <c r="Y10" s="339" t="s">
        <v>508</v>
      </c>
      <c r="Z10" s="375">
        <v>1</v>
      </c>
      <c r="AA10" s="331">
        <v>75</v>
      </c>
      <c r="AB10" s="331">
        <f t="shared" si="1"/>
        <v>75</v>
      </c>
      <c r="AD10" s="388" t="s">
        <v>506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509</v>
      </c>
      <c r="F11" s="333">
        <v>450</v>
      </c>
      <c r="H11" s="374" t="s">
        <v>510</v>
      </c>
      <c r="I11" s="370"/>
      <c r="J11" s="371"/>
      <c r="K11" s="372">
        <v>250</v>
      </c>
      <c r="M11" s="369" t="s">
        <v>511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224</v>
      </c>
      <c r="W11" s="331">
        <f>Sheet2!B14/1000</f>
        <v>215</v>
      </c>
      <c r="X11" s="323"/>
      <c r="Y11" s="339" t="s">
        <v>512</v>
      </c>
      <c r="Z11" s="375">
        <v>1</v>
      </c>
      <c r="AA11" s="331">
        <v>75</v>
      </c>
      <c r="AB11" s="331">
        <f t="shared" si="1"/>
        <v>75</v>
      </c>
      <c r="AD11" s="388" t="s">
        <v>511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513</v>
      </c>
      <c r="F12" s="335">
        <v>450</v>
      </c>
      <c r="H12" s="373" t="s">
        <v>514</v>
      </c>
      <c r="I12" s="366"/>
      <c r="J12" s="367"/>
      <c r="K12" s="373">
        <v>2700</v>
      </c>
      <c r="M12" s="369" t="s">
        <v>515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509</v>
      </c>
      <c r="W12" s="331">
        <v>500</v>
      </c>
      <c r="X12" s="323"/>
      <c r="Y12" s="388" t="s">
        <v>514</v>
      </c>
      <c r="Z12" s="375"/>
      <c r="AA12" s="331"/>
      <c r="AB12" s="217">
        <f>Sheet2!B45</f>
        <v>4000</v>
      </c>
      <c r="AD12" s="388" t="s">
        <v>516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517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516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513</v>
      </c>
      <c r="W13" s="331">
        <v>500</v>
      </c>
      <c r="X13" s="323"/>
      <c r="Y13" s="339" t="s">
        <v>518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517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519</v>
      </c>
      <c r="J15" s="323" t="s">
        <v>520</v>
      </c>
      <c r="K15" s="323" t="s">
        <v>521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522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523</v>
      </c>
      <c r="H17" s="331" t="s">
        <v>524</v>
      </c>
      <c r="I17" s="331">
        <v>5.65</v>
      </c>
      <c r="J17" s="331" t="s">
        <v>525</v>
      </c>
      <c r="K17" s="331" t="s">
        <v>525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519</v>
      </c>
      <c r="AA17" s="323" t="s">
        <v>520</v>
      </c>
      <c r="AB17" s="323" t="s">
        <v>521</v>
      </c>
      <c r="AG17" s="365"/>
    </row>
    <row r="18" ht="18.75">
      <c r="A18" s="340"/>
      <c r="E18" s="324" t="s">
        <v>526</v>
      </c>
      <c r="F18" s="323" t="s">
        <v>213</v>
      </c>
      <c r="H18" s="331" t="s">
        <v>527</v>
      </c>
      <c r="I18" s="331">
        <v>6.1</v>
      </c>
      <c r="J18" s="331" t="s">
        <v>525</v>
      </c>
      <c r="K18" s="331" t="s">
        <v>525</v>
      </c>
      <c r="P18" s="365"/>
      <c r="R18" s="340"/>
      <c r="V18" s="331" t="s">
        <v>179</v>
      </c>
      <c r="W18" s="339" t="s">
        <v>523</v>
      </c>
      <c r="X18" s="323"/>
      <c r="Y18" s="331" t="s">
        <v>449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528</v>
      </c>
      <c r="F19" s="323" t="s">
        <v>182</v>
      </c>
      <c r="H19" s="331" t="s">
        <v>529</v>
      </c>
      <c r="I19" s="331">
        <v>6.5</v>
      </c>
      <c r="J19" s="331" t="s">
        <v>525</v>
      </c>
      <c r="K19" s="331" t="s">
        <v>525</v>
      </c>
      <c r="P19" s="365"/>
      <c r="R19" s="340"/>
      <c r="V19" s="331" t="s">
        <v>526</v>
      </c>
      <c r="W19" s="339" t="s">
        <v>213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530</v>
      </c>
      <c r="H20" s="331" t="s">
        <v>531</v>
      </c>
      <c r="I20" s="331">
        <v>7.5</v>
      </c>
      <c r="J20" s="331" t="s">
        <v>525</v>
      </c>
      <c r="K20" s="331" t="s">
        <v>525</v>
      </c>
      <c r="P20" s="365"/>
      <c r="R20" s="340"/>
      <c r="V20" s="331"/>
      <c r="W20" s="339" t="s">
        <v>182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475</v>
      </c>
      <c r="C27" s="345" t="s">
        <v>29</v>
      </c>
      <c r="D27" s="345" t="s">
        <v>535</v>
      </c>
      <c r="E27" s="346" t="s">
        <v>447</v>
      </c>
      <c r="F27" s="345" t="s">
        <v>536</v>
      </c>
      <c r="G27" s="345" t="s">
        <v>441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65</v>
      </c>
      <c r="E28" s="324">
        <f>Table12[[#This Row],[سعر]]*Table12[[#This Row],[ميزان]]*Table12[[#This Row],[عدد]]</f>
        <v>10140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65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65</v>
      </c>
      <c r="E30" s="324">
        <f>Table12[[#This Row],[سعر]]*Table12[[#This Row],[ميزان]]*Table12[[#This Row],[عدد]]</f>
        <v>3640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77</v>
      </c>
      <c r="E31" s="324">
        <f>Table12[[#This Row],[سعر]]*Table12[[#This Row],[ميزان]]*Table12[[#This Row],[عدد]]</f>
        <v>2310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77</v>
      </c>
      <c r="E32" s="324">
        <f>Table12[[#This Row],[سعر]]*Table12[[#This Row],[ميزان]]*Table12[[#This Row],[عدد]]</f>
        <v>7084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245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65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58318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65</v>
      </c>
      <c r="E50" s="350">
        <f>Table12[[#This Row],[سعر]]*Table12[[#This Row],[ميزان]]*Table12[[#This Row],[عدد]]</f>
        <v>2600</v>
      </c>
      <c r="J50" s="213" t="s">
        <v>155</v>
      </c>
      <c r="K50" s="214"/>
      <c r="L50" s="211"/>
      <c r="M50" s="290"/>
      <c r="N50" s="291">
        <f>N49+N48</f>
        <v>58318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75813.400000000009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65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39473</v>
      </c>
      <c r="F54" s="353">
        <f>Table12[[#Totals],[Column5]]/(تسعير!T54*تسعير!T55/10000)</f>
        <v>1578.92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475</v>
      </c>
      <c r="C60" s="345" t="s">
        <v>29</v>
      </c>
      <c r="D60" s="345" t="s">
        <v>535</v>
      </c>
      <c r="E60" s="346" t="s">
        <v>447</v>
      </c>
      <c r="F60" s="345" t="s">
        <v>536</v>
      </c>
      <c r="G60" s="345" t="s">
        <v>441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65</v>
      </c>
      <c r="E61" s="324">
        <f>Table1257[[#This Row],[سعر]]*Table1257[[#This Row],[ميزان]]*Table1257[[#This Row],[عدد]]</f>
        <v>10140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65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65</v>
      </c>
      <c r="E63" s="324">
        <f>Table1257[[#This Row],[سعر]]*Table1257[[#This Row],[ميزان]]*Table1257[[#This Row],[عدد]]</f>
        <v>3640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77</v>
      </c>
      <c r="E64" s="324">
        <f>Table1257[[#This Row],[سعر]]*Table1257[[#This Row],[ميزان]]*Table1257[[#This Row],[عدد]]</f>
        <v>6930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77</v>
      </c>
      <c r="E65" s="324">
        <f>Table1257[[#This Row],[سعر]]*Table1257[[#This Row],[ميزان]]*Table1257[[#This Row],[عدد]]</f>
        <v>7084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245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508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65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70528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70528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65</v>
      </c>
      <c r="E84" s="350">
        <f>Table1257[[#This Row],[سعر]]*Table1257[[#This Row],[ميزان]]*Table1257[[#This Row],[عدد]]</f>
        <v>1950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95212.8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65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44878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20214CDE-7E6A-4D04-9537-CCF3C53F74A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424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45370.497501585647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60950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45370.497501585647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447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4505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447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449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4505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449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3705</v>
      </c>
      <c r="V6" s="240">
        <f>M6*U6</f>
        <v>3705</v>
      </c>
      <c r="W6" s="241">
        <f>(V6)/$R$68</f>
        <v>0.016082718565447549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451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3705</v>
      </c>
      <c r="BQ6" s="240">
        <f>BH6*BP6</f>
        <v>3705</v>
      </c>
      <c r="BR6" s="241">
        <f>(BQ6)/$R$68</f>
        <v>0.016082718565447549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451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2405</v>
      </c>
      <c r="V7" s="240">
        <f>M7*U7</f>
        <v>9620</v>
      </c>
      <c r="W7" s="241">
        <f>(V7)/$R$68</f>
        <v>0.041758637678705919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453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2405</v>
      </c>
      <c r="BQ7" s="240">
        <f>BH7*BP7</f>
        <v>9620</v>
      </c>
      <c r="BR7" s="241">
        <f>(BQ7)/$R$68</f>
        <v>0.041758637678705919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453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325</v>
      </c>
      <c r="V8" s="240">
        <f>M8*U8</f>
        <v>1300</v>
      </c>
      <c r="W8" s="241">
        <f>(V8)/$R$68</f>
        <v>0.0056430591457710694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455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325</v>
      </c>
      <c r="BQ8" s="240">
        <f>BH8*BP8</f>
        <v>1300</v>
      </c>
      <c r="BR8" s="241">
        <f>(BQ8)/$R$68</f>
        <v>0.0056430591457710694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455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5460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457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5460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457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459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459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14625</v>
      </c>
      <c r="W11" s="244">
        <f>Table15880[[#Totals],[اجمالي]]/$R$68</f>
        <v>0.063484415389924539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461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14625</v>
      </c>
      <c r="BR11" s="244">
        <f>Table1588090[[#Totals],[اجمالي]]/$R$68</f>
        <v>0.063484415389924539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461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463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463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369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0.0034726517820129659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5130.4825</v>
      </c>
      <c r="AX14" s="194"/>
      <c r="AY14" s="194"/>
      <c r="AZ14" s="194"/>
      <c r="BA14" s="194">
        <f>SUBTOTAL(109,Table8091[price])</f>
        <v>93281.5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0.0034726517820129659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0.00073793850367775526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0.00073793850367775526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0.00032556110456371558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0.00032556110456371558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0.00208359106920778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0.00208359106920778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0.0066197424594622162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0.0066197424594622162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780</v>
      </c>
      <c r="V22" s="240">
        <f>M22*U22</f>
        <v>1560</v>
      </c>
      <c r="W22" s="249">
        <f>(V22)/$R$68</f>
        <v>0.0067716709749252833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780</v>
      </c>
      <c r="BQ22" s="240">
        <f>BH22*BP22</f>
        <v>1560</v>
      </c>
      <c r="BR22" s="249">
        <f>(BQ22)/$R$68</f>
        <v>0.0067716709749252833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470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455</v>
      </c>
      <c r="V23" s="240">
        <f>M23*U23</f>
        <v>910</v>
      </c>
      <c r="W23" s="241">
        <f>(V23)/$R$68</f>
        <v>0.0039501414020397486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470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455</v>
      </c>
      <c r="BQ23" s="240">
        <f>BH23*BP23</f>
        <v>910</v>
      </c>
      <c r="BR23" s="241">
        <f>(BQ23)/$R$68</f>
        <v>0.0039501414020397486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48.75</v>
      </c>
      <c r="V24" s="240">
        <f>M24*U24</f>
        <v>390</v>
      </c>
      <c r="W24" s="251">
        <f>(V24)/$R$68</f>
        <v>0.0016929177437313208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48.75</v>
      </c>
      <c r="BQ24" s="240">
        <f>BH24*BP24</f>
        <v>390</v>
      </c>
      <c r="BR24" s="251">
        <f>(BQ24)/$R$68</f>
        <v>0.0016929177437313208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2860</v>
      </c>
      <c r="W25" s="244">
        <f>Table166273[[#Totals],[اجمالي]]/$R$68</f>
        <v>0.012414730120696353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2860</v>
      </c>
      <c r="BR25" s="244">
        <f>Table16627383[[#Totals],[اجمالي]]/$R$68</f>
        <v>0.012414730120696353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0.0039240965136746525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0.0039240965136746525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0.00026044888365097247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0.0002344039952858752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0.00026044888365097247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0.0002344039952858752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0.00017363258910064829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0.00010852036818790518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0.00065112220912743116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0.00065112220912743116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0.00034726517820129658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0.00034726517820129658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0.01193724050066957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0.01193724050066957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0.0031904988247244124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0.0031904988247244124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0.01549670857723286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0.01549670857723286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0.021269992164829415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0.036124260162389878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0.057511454324862231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93281.5</v>
      </c>
      <c r="BQ46" s="252">
        <f>BH46*Table1613687787[[#This Row],[سعر الشبك ]]</f>
        <v>93281.5</v>
      </c>
      <c r="BR46" s="241">
        <f>(BQ46)/$R$68</f>
        <v>0.40491770900480312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0.65880545119513478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93281.5</v>
      </c>
      <c r="BQ47" s="240">
        <f>BH47*Table1613687787[[#This Row],[سعر الشبك ]]</f>
        <v>9328.15</v>
      </c>
      <c r="BR47" s="241">
        <f>(BQ47)/$R$68</f>
        <v>0.040491770900480312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0.1647013627987837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102609.65</v>
      </c>
      <c r="BR48" s="244">
        <f>Table1613687787[[#Totals],[اجمالي]]/$R$68</f>
        <v>0.4454094799052834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0.82350681399391856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0.0016061014491809968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0.0017363258910064829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0.0016061014491809968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0.0017363258910064829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0.0048183043475429907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0.0052089776730194493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0.010765220524240195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0.0069453035640259318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0.0080739153931801456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0.0052089776730194493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0.010765220524240195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0.0069453035640259318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0.011459750880642787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0.0097668331369114673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0.019967747746574553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0.0086816294550324143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0.0036462843711136143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0.082475479822807937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0.036462843711136145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148941.65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230371.5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193624.145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345557.25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424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65000</v>
      </c>
      <c r="T73" s="303">
        <f>Sheet2!B13</f>
        <v>75000</v>
      </c>
      <c r="U73" s="303">
        <f>Sheet2!B14</f>
        <v>215000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45370.497501678241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424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45370.497501678241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60950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4505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447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4505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5460</v>
      </c>
      <c r="BQ76" s="240">
        <f>BH76*BP76</f>
        <v>10920</v>
      </c>
      <c r="BR76" s="241">
        <f>(BQ76)/$R$68</f>
        <v>0.047401696824476987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5460</v>
      </c>
      <c r="V77" s="240">
        <f>M77*U77</f>
        <v>21840</v>
      </c>
      <c r="W77" s="241">
        <f>(V77)/$R$68</f>
        <v>0.094803393648953974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449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2405</v>
      </c>
      <c r="BQ77" s="240">
        <f>BH77*BP77</f>
        <v>9620</v>
      </c>
      <c r="BR77" s="241">
        <f>(BQ77)/$R$68</f>
        <v>0.041758637678705919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2405</v>
      </c>
      <c r="V78" s="240">
        <f>M78*U78</f>
        <v>9620</v>
      </c>
      <c r="W78" s="241">
        <f>(V78)/$R$68</f>
        <v>0.041758637678705919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451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325</v>
      </c>
      <c r="BQ78" s="240">
        <f>BH78*BP78</f>
        <v>1300</v>
      </c>
      <c r="BR78" s="241">
        <f>(BQ78)/$R$68</f>
        <v>0.0056430591457710694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447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325</v>
      </c>
      <c r="V79" s="240">
        <f>M79*U79</f>
        <v>1300</v>
      </c>
      <c r="W79" s="241">
        <f>(V79)/$R$68</f>
        <v>0.0056430591457710694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453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5460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449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5460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455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451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457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369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21840</v>
      </c>
      <c r="BR81" s="244">
        <f>Table15880101112[[#Totals],[اجمالي]]/$R$68</f>
        <v>0.094803393648953974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453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32760</v>
      </c>
      <c r="W82" s="244">
        <f>Table15880101[[#Totals],[اجمالي]]/$R$68</f>
        <v>0.14220509047343097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459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455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461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457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463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0.0052089776730194493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459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0.0034726517820129659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5130.4825</v>
      </c>
      <c r="AX85" s="310"/>
      <c r="AY85" s="310"/>
      <c r="AZ85" s="310"/>
      <c r="BA85" s="310">
        <f>SUBTOTAL(109,Table80102113[price])</f>
        <v>93281.5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0.00073793850367775526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461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369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0.00073793850367775526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0.00032556110456371558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463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0.00032556110456371558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0.00208359106920778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0.020835910692077797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0.0083560683504686987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0.025372062082332232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780</v>
      </c>
      <c r="BQ92" s="240">
        <f>BH92*BP92</f>
        <v>3120</v>
      </c>
      <c r="BR92" s="249">
        <f>(BQ92)/$R$68</f>
        <v>0.013543341949850567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780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470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455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470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455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48.75</v>
      </c>
      <c r="BQ94" s="240">
        <f>BH94*BP94</f>
        <v>780</v>
      </c>
      <c r="BR94" s="251">
        <f>(BQ94)/$R$68</f>
        <v>0.0033858354874626417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48.75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3900</v>
      </c>
      <c r="BR95" s="244">
        <f>Table16627394105[[#Totals],[اجمالي]]/$R$68</f>
        <v>0.01692917743731321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0.0044044800101864451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0.0057356631932914152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0.0002344039952858752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0.00026044888365097247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0.0002344039952858752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0.00026044888365097247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0.00010852036818790518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0.00017363258910064829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0.00065112220912743116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0.00065112220912743116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0.00034726517820129658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0.00034726517820129658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0.0054260184093952593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0.0054260184093952593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0.0027347132783352109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0.0027347132783352109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0.017710524088266125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0.022138155110332659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0.031851451532271424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0.037727467735085861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93281.5</v>
      </c>
      <c r="BQ117" s="252">
        <f>BH117*Table1613687798109[[#This Row],[سعر الشبك ]]</f>
        <v>93281.5</v>
      </c>
      <c r="BR117" s="241">
        <f>(BQ117)/$R$68</f>
        <v>0.40491770900480312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0.53631634121408245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93281.5</v>
      </c>
      <c r="BQ118" s="240">
        <f>BH118*Table1613687798109[[#This Row],[سعر الشبك ]]</f>
        <v>9328.15</v>
      </c>
      <c r="BR118" s="241">
        <f>(BQ118)/$R$68</f>
        <v>0.040491770900480312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0.053631634121408249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102609.65</v>
      </c>
      <c r="BR119" s="244">
        <f>Table1613687798109[[#Totals],[اجمالي]]/$R$68</f>
        <v>0.4454094799052834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0.58994797533549082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0.0016061014491809968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0.0017363258910064829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0.0016061014491809968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0.0017363258910064829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0.0048183043475429907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0.0052089776730194493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0.010765220524240195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0.011286118291542139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0.0080739153931801456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0.008464588718656605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0.010765220524240195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0.011286118291542139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0.011459750880642787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0.011459750880642787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0.0097668331369114673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0.0097668331369114673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0.019967747746574553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0.019967747746574553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0.0036462843711136143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0.0036462843711136143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0.082475479822807937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0.084559070892015725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156612.31666666665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202683.53333333336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203596.01166666666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263488.59333333338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8BA3ED1D-1D96-4557-A28B-11D434417906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419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357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420</v>
      </c>
      <c r="F3" s="648" t="s">
        <v>421</v>
      </c>
      <c r="G3" s="648"/>
    </row>
    <row r="4" ht="18" customHeight="1">
      <c r="A4" s="11" t="s">
        <v>289</v>
      </c>
      <c r="F4" s="652" t="s">
        <v>422</v>
      </c>
      <c r="G4" s="653"/>
      <c r="H4" s="653"/>
      <c r="I4" s="654"/>
      <c r="J4" s="10"/>
    </row>
    <row r="5" ht="18" customHeight="1">
      <c r="A5" s="11" t="s">
        <v>290</v>
      </c>
      <c r="F5" s="655" t="s">
        <v>423</v>
      </c>
      <c r="G5" s="646"/>
      <c r="H5" s="646"/>
      <c r="I5" s="647"/>
      <c r="J5" s="10"/>
    </row>
    <row r="6" ht="18" customHeight="1">
      <c r="A6" s="11" t="s">
        <v>361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424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291</v>
      </c>
    </row>
    <row r="10" ht="18" customHeight="1">
      <c r="A10" s="11" t="s">
        <v>292</v>
      </c>
    </row>
    <row r="11" ht="18" customHeight="1">
      <c r="A11" s="11" t="s">
        <v>308</v>
      </c>
      <c r="B11" s="635" t="s">
        <v>425</v>
      </c>
      <c r="C11" s="636"/>
      <c r="D11" s="646" t="s">
        <v>426</v>
      </c>
      <c r="E11" s="647"/>
    </row>
    <row r="12" ht="18" customHeight="1">
      <c r="A12" s="11" t="s">
        <v>293</v>
      </c>
    </row>
    <row r="13" ht="18" customHeight="1">
      <c r="A13" s="11" t="s">
        <v>427</v>
      </c>
    </row>
    <row r="14" ht="18" customHeight="1"/>
    <row r="15" ht="24.6" customHeight="1">
      <c r="A15" s="11" t="s">
        <v>296</v>
      </c>
      <c r="Q15" s="640"/>
      <c r="R15" s="640"/>
      <c r="S15" s="640"/>
    </row>
    <row r="16" ht="18" customHeight="1">
      <c r="C16" s="648" t="s">
        <v>428</v>
      </c>
      <c r="D16" s="648"/>
      <c r="E16" s="648"/>
      <c r="F16" s="1" t="s">
        <v>429</v>
      </c>
    </row>
    <row r="17" ht="18" customHeight="1">
      <c r="A17" s="648" t="s">
        <v>294</v>
      </c>
      <c r="B17" s="648"/>
      <c r="C17" s="648"/>
    </row>
    <row r="18" ht="18" customHeight="1">
      <c r="A18" s="637" t="s">
        <v>430</v>
      </c>
      <c r="B18" s="638"/>
      <c r="C18" s="14">
        <f>'Format Φωτισμου'!B9</f>
        <v>5</v>
      </c>
    </row>
    <row r="19" ht="18" customHeight="1">
      <c r="A19" s="637" t="s">
        <v>431</v>
      </c>
      <c r="B19" s="638"/>
      <c r="C19" s="14">
        <f>'Format Φωτισμου'!B12</f>
        <v>15</v>
      </c>
    </row>
    <row r="20" ht="18" customHeight="1">
      <c r="A20" s="637" t="s">
        <v>432</v>
      </c>
      <c r="B20" s="638"/>
      <c r="C20" s="14">
        <f>C19/C18</f>
        <v>3</v>
      </c>
    </row>
    <row r="21" ht="18" customHeight="1">
      <c r="A21" s="642" t="s">
        <v>433</v>
      </c>
      <c r="B21" s="643"/>
      <c r="C21" s="644">
        <v>20</v>
      </c>
      <c r="D21" s="645"/>
      <c r="E21" s="635" t="s">
        <v>434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435</v>
      </c>
      <c r="B22" s="638"/>
      <c r="C22" s="179">
        <v>50</v>
      </c>
      <c r="D22" s="184" t="s">
        <v>436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437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438</v>
      </c>
      <c r="H26" s="1" t="s">
        <v>439</v>
      </c>
    </row>
    <row r="27" ht="18" customHeight="1">
      <c r="A27" s="11" t="s">
        <v>305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306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308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