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<sst xmlns="http://schemas.openxmlformats.org/spreadsheetml/2006/main" count="597" uniqueCount="597">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</sst>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14594.583333333332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3000</v>
      </c>
      <c r="D7" s="182" t="s">
        <v>162</v>
      </c>
      <c r="E7" s="183">
        <f>تسعير!X31</f>
        <v>3000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344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3000</v>
      </c>
      <c r="L6" s="698"/>
      <c r="M6" s="94" t="s">
        <v>372</v>
      </c>
      <c r="N6" s="95">
        <f>تسجيل2!E7</f>
        <v>3000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900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2972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1069.56336</v>
      </c>
      <c r="U8" s="138">
        <f>T8*S8</f>
        <v>320869.00800000003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8</v>
      </c>
      <c r="H11" s="716"/>
      <c r="I11" s="717">
        <f>'Format διαστασης οδηγου (2)'!F8</f>
        <v>2965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8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29.65</v>
      </c>
      <c r="U11" s="103">
        <f>CEILING(T11,0.5)</f>
        <v>30</v>
      </c>
      <c r="V11" s="103">
        <f>U11*S11</f>
        <v>240</v>
      </c>
      <c r="W11" s="140">
        <v>4.45627705627706</v>
      </c>
      <c r="X11" s="141">
        <f>($W$1/1000)*W11*V11</f>
        <v>256681.55844155868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428.78571428571428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4.2878571428571428</v>
      </c>
      <c r="U12" s="103">
        <f ref="U12:U21" t="shared" si="0">CEILING(T12,0.25)</f>
        <v>4.5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10</v>
      </c>
      <c r="H13" s="719"/>
      <c r="I13" s="720">
        <f>IF(G13="-------","-------",L17-5)</f>
        <v>422.28571428571428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10.557142857142857</v>
      </c>
      <c r="U13" s="103">
        <f t="shared" si="0"/>
        <v>10.75</v>
      </c>
      <c r="V13" s="103">
        <f t="shared" si="1"/>
        <v>40</v>
      </c>
      <c r="W13" s="140">
        <v>1.86378737541528</v>
      </c>
      <c r="X13" s="141">
        <f ref="X13:X20" t="shared" si="7">($W$1/1000)*W13*V13</f>
        <v>17892.358803986688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428.78571428571428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e">
        <f>IF(L11&lt;=3,"0",(L11-3)*L14)</f>
        <v>#VALUE!</v>
      </c>
      <c r="H15" s="719"/>
      <c r="I15" s="720" t="e">
        <f>IF(G15="-------","---------",I13)</f>
        <v>#VALUE!</v>
      </c>
      <c r="J15" s="720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430.78571428571428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1.0769642857142856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430.78571428571428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427.28571428571428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1.0769642857142856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5</v>
      </c>
      <c r="H18" s="719"/>
      <c r="I18" s="720">
        <f>IF(G18="-------","-------",L17)</f>
        <v>427.28571428571428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5.3410714285714285</v>
      </c>
      <c r="U18" s="103">
        <f t="shared" si="0"/>
        <v>5.5</v>
      </c>
      <c r="V18" s="103">
        <f t="shared" si="1"/>
        <v>20</v>
      </c>
      <c r="W18" s="140">
        <v>1.3948717948718</v>
      </c>
      <c r="X18" s="141">
        <f t="shared" si="7"/>
        <v>6695.3846153846389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7</v>
      </c>
      <c r="H20" s="728"/>
      <c r="I20" s="720">
        <f>L17-7</f>
        <v>420.28571428571428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7.355</v>
      </c>
      <c r="U20" s="103">
        <f t="shared" si="0"/>
        <v>7.5</v>
      </c>
      <c r="V20" s="103">
        <f t="shared" si="1"/>
        <v>28</v>
      </c>
      <c r="W20" s="103">
        <v>1.65</v>
      </c>
      <c r="X20" s="141">
        <f t="shared" si="7"/>
        <v>11088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8</v>
      </c>
      <c r="H21" s="732"/>
      <c r="I21" s="733">
        <f>(I11*2)+45</f>
        <v>5975</v>
      </c>
      <c r="J21" s="733"/>
      <c r="K21" s="106"/>
      <c r="L21" s="112">
        <f>IF(Format!E7=1,"-------",IF(Format!E7=5,"-------",تسجيل2!H30))</f>
        <v>8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478</v>
      </c>
      <c r="U21" s="142">
        <f t="shared" si="0"/>
        <v>478</v>
      </c>
      <c r="V21" s="142">
        <f>U21*S21</f>
        <v>478</v>
      </c>
      <c r="W21" s="142">
        <f>Sheet2!B17</f>
        <v>175</v>
      </c>
      <c r="X21" s="144">
        <f>W21*V21</f>
        <v>83650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8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1040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8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16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32</v>
      </c>
      <c r="AB29" s="60">
        <f t="shared" si="10"/>
        <v>8000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8000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24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24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12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118.6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415.09999999999997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2999</v>
      </c>
      <c r="L97" s="177" t="str">
        <f>M8</f>
        <v>Χ</v>
      </c>
      <c r="M97" s="756">
        <f>N8</f>
        <v>2972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3000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3000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3000</v>
      </c>
      <c r="T31" s="47" t="s">
        <v>484</v>
      </c>
      <c r="U31" s="57">
        <f>INT((S31-4)/25)+1</f>
        <v>120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3000</v>
      </c>
      <c r="E2" s="1">
        <f>تسجيل2!E7</f>
        <v>3000</v>
      </c>
      <c r="F2" s="1">
        <f>تسجيل2!E7</f>
        <v>3000</v>
      </c>
      <c r="G2" s="1">
        <f>تسجيل2!E7</f>
        <v>3000</v>
      </c>
      <c r="H2" s="8">
        <f>تسجيل2!E7</f>
        <v>3000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3000</v>
      </c>
      <c r="E6" s="1">
        <f>IF(E3=0,E2,E2-E3-E4+10)</f>
        <v>3000</v>
      </c>
      <c r="F6" s="1">
        <f>IF(F3=0,F2,F2-F3-F4+10)</f>
        <v>3000</v>
      </c>
      <c r="G6" s="1">
        <f>IF(G3=0,G2,G2-G3-G4+10)</f>
        <v>3000</v>
      </c>
      <c r="H6" s="8">
        <f>IF(H3=0,H2,H2-H3-H4+10)</f>
        <v>3000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3000</v>
      </c>
      <c r="L6" s="10">
        <f>IF('Format (2)'!E8=1,تسجيل2!E7-30,IF('Format (2)'!E8=2,D7,IF('Format (2)'!E8=3,E7,IF('Format (2)'!E8=4,F7,IF('Format (2)'!E8=5,G7,IF('Format (2)'!E8=6,H7,"-----"))))))</f>
        <v>2970</v>
      </c>
    </row>
    <row r="7">
      <c r="A7" s="798"/>
      <c r="B7" s="799"/>
      <c r="C7" s="19" t="s">
        <v>507</v>
      </c>
      <c r="D7" s="6">
        <f>D6-30</f>
        <v>2970</v>
      </c>
      <c r="E7" s="6">
        <f>E6-17</f>
        <v>2983</v>
      </c>
      <c r="F7" s="6">
        <f>F6-30</f>
        <v>2970</v>
      </c>
      <c r="G7" s="6">
        <f>G6-17</f>
        <v>2983</v>
      </c>
      <c r="H7" s="9">
        <f>H6-30</f>
        <v>2970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3000</v>
      </c>
      <c r="E11" s="1">
        <f>تسجيل2!E7</f>
        <v>3000</v>
      </c>
      <c r="F11" s="1">
        <f>تسجيل2!E7</f>
        <v>3000</v>
      </c>
      <c r="G11" s="1">
        <f>تسجيل2!E7</f>
        <v>3000</v>
      </c>
      <c r="H11" s="8">
        <f>تسجيل2!E7</f>
        <v>3000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3000</v>
      </c>
      <c r="L14" s="10">
        <f>IF('Format (2)'!E8=1,تسجيل2!E7-30,IF('Format (2)'!E8=2,D16,IF('Format (2)'!E8=3,E16,IF('Format (2)'!E8=4,F16,IF('Format (2)'!E8=5,G16,IF('Format (2)'!E8=6,H16))))))</f>
        <v>2970</v>
      </c>
    </row>
    <row r="15">
      <c r="A15" s="802"/>
      <c r="B15" s="803"/>
      <c r="C15" s="10" t="s">
        <v>505</v>
      </c>
      <c r="D15" s="1">
        <f>IF(D12=0,D11,D11-D12-D13+11)</f>
        <v>3000</v>
      </c>
      <c r="E15" s="1">
        <f>IF(E12=0,E11,E11-E12-E13+11)</f>
        <v>3000</v>
      </c>
      <c r="F15" s="1">
        <f>IF(F12=0,F11,F11-F12-F13+11)</f>
        <v>3000</v>
      </c>
      <c r="G15" s="1">
        <f>IF(G12=0,G11,G11-G12-G13+11)</f>
        <v>3000</v>
      </c>
      <c r="H15" s="8">
        <f>IF(H12=0,H11,H11-H12-H13+11)</f>
        <v>3000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2970</v>
      </c>
      <c r="E16" s="6">
        <f>E15-17</f>
        <v>2983</v>
      </c>
      <c r="F16" s="6">
        <f>F15-30</f>
        <v>2970</v>
      </c>
      <c r="G16" s="6">
        <f>G15-17</f>
        <v>2983</v>
      </c>
      <c r="H16" s="9">
        <f>H15-30</f>
        <v>2970</v>
      </c>
      <c r="Q16" s="10">
        <f>IF('Format (2)'!A7=1,K6,IF('Format (2)'!A7=3,K6,IF('Format (2)'!A7=4,K23,IF('Format (2)'!A7=2,K23,IF('Format (2)'!A7=5,K14,"------")))))</f>
        <v>3000</v>
      </c>
      <c r="R16" s="10">
        <f>IF('Format (2)'!A7=1,L6,IF('Format (2)'!A7=3,L6,IF('Format (2)'!A7=4,L23,IF('Format (2)'!A7=2,L23+2,IF('Format (2)'!A7=5,L14,"------")))))</f>
        <v>2972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3000</v>
      </c>
      <c r="E20" s="1">
        <f>تسجيل2!E7</f>
        <v>3000</v>
      </c>
      <c r="F20" s="1">
        <f>تسجيل2!E7</f>
        <v>3000</v>
      </c>
      <c r="G20" s="1">
        <f>تسجيل2!E7</f>
        <v>3000</v>
      </c>
      <c r="H20" s="8">
        <f>تسجيل2!E7</f>
        <v>3000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3000</v>
      </c>
      <c r="L23" s="10">
        <f>IF('Format (2)'!E8=1,تسجيل2!E7-30,IF('Format (2)'!E8=2,D25,IF('Format (2)'!E8=3,E25,IF('Format (2)'!E8=4,F25,IF('Format (2)'!E8=5,G25,IF('Format (2)'!E8=6,H25))))))</f>
        <v>2970</v>
      </c>
    </row>
    <row r="24">
      <c r="A24" s="808"/>
      <c r="B24" s="809"/>
      <c r="C24" s="10" t="s">
        <v>505</v>
      </c>
      <c r="D24" s="1">
        <f>IF(D21=0,D20,D20-D21-D22+11)</f>
        <v>3000</v>
      </c>
      <c r="E24" s="1">
        <f>IF(E21=0,E20,E20-E21-E22+11)</f>
        <v>3000</v>
      </c>
      <c r="F24" s="1">
        <f>IF(F21=0,F20,F20-F21-F22+11)</f>
        <v>3000</v>
      </c>
      <c r="G24" s="1">
        <f>IF(G21=0,G20,G20-G21-G22+11)</f>
        <v>3000</v>
      </c>
      <c r="H24" s="8">
        <f>IF(H21=0,H20,H20-H21-H22+11)</f>
        <v>3000</v>
      </c>
    </row>
    <row r="25">
      <c r="A25" s="810"/>
      <c r="B25" s="811"/>
      <c r="C25" s="19" t="s">
        <v>507</v>
      </c>
      <c r="D25" s="6">
        <f>D24-30</f>
        <v>2970</v>
      </c>
      <c r="E25" s="6">
        <f>E24-13</f>
        <v>2987</v>
      </c>
      <c r="F25" s="6">
        <f>F24-30</f>
        <v>2970</v>
      </c>
      <c r="G25" s="6">
        <f>G24-13</f>
        <v>2987</v>
      </c>
      <c r="H25" s="9">
        <f>H24-30</f>
        <v>2970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3000</v>
      </c>
      <c r="J4" s="15">
        <v>4</v>
      </c>
      <c r="K4" s="15">
        <v>2</v>
      </c>
    </row>
    <row r="5">
      <c r="A5" s="1" t="s">
        <v>503</v>
      </c>
      <c r="B5" s="1">
        <f>تسجيل2!E7</f>
        <v>3000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2968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2965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2968</v>
      </c>
      <c r="F8" s="1">
        <f>IF('Format (2)'!A7=1,C6,IF('Format (2)'!A7=2,C7,IF('Format (2)'!A7=3,C8,IF('Format (2)'!A7=4,C9,IF('Format (2)'!A7=5,C10)))))</f>
        <v>2965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2968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3000</v>
      </c>
      <c r="F16" s="1">
        <f>IF('Format (2)'!A7=1,C14,IF('Format (2)'!A7=2,C15,IF('Format (2)'!A7=3,C16,IF('Format (2)'!A7=4,C17,IF('Format (2)'!A7=5,C118)))))</f>
        <v>3000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3000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3000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45851.53965604167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45851.539656053239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382.5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2103.75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2520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0</v>
      </c>
      <c r="G10" s="211"/>
      <c r="H10" s="211">
        <f>H9*B9+H8*B8+H7*B7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261.25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5504.583333333333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-500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-240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9200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45851.539656122688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45851.539656157409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45851.539656226851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45851.539656226851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45851.539656342589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45851.539656342589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