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<sst xmlns="http://schemas.openxmlformats.org/spreadsheetml/2006/main" count="598" uniqueCount="598">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</sst>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93267.083333333328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500</v>
      </c>
      <c r="D7" s="182" t="s">
        <v>428</v>
      </c>
      <c r="E7" s="183">
        <f>تسعير!X31</f>
        <v>1600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500</v>
      </c>
      <c r="L6" s="759"/>
      <c r="M6" s="94" t="s">
        <v>366</v>
      </c>
      <c r="N6" s="95">
        <f>تسجيل2!E7</f>
        <v>1600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499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1572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94.13136</v>
      </c>
      <c r="U8" s="138">
        <f>T8*S8</f>
        <v>25886.124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3</v>
      </c>
      <c r="H11" s="743"/>
      <c r="I11" s="744">
        <f>'Format διαστασης οδηγου (2)'!F8</f>
        <v>1565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3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5.86875</v>
      </c>
      <c r="U11" s="103">
        <f>CEILING(T11,0.5)</f>
        <v>6</v>
      </c>
      <c r="V11" s="103">
        <f>U11*S11</f>
        <v>48</v>
      </c>
      <c r="W11" s="140">
        <v>4.45627705627706</v>
      </c>
      <c r="X11" s="141">
        <f>($W$1/1000)*W11*V11</f>
        <v>56683.844155844206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5926.843853820591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240.5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247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240.5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1108.923076923081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249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245.5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1108.923076923081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245.5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497.5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2</v>
      </c>
      <c r="H20" s="724"/>
      <c r="I20" s="719">
        <f>L17-7</f>
        <v>238.5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2623.5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3</v>
      </c>
      <c r="H21" s="710"/>
      <c r="I21" s="711">
        <f>(I11*2)+45</f>
        <v>3175</v>
      </c>
      <c r="J21" s="711"/>
      <c r="K21" s="106"/>
      <c r="L21" s="112">
        <f>IF(Format!E7=1,"-------",IF(Format!E7=5,"-------",تسجيل2!H30))</f>
        <v>3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95.25</v>
      </c>
      <c r="U21" s="142">
        <f t="shared" si="0"/>
        <v>95.25</v>
      </c>
      <c r="V21" s="142">
        <f>U21*S21</f>
        <v>95.25</v>
      </c>
      <c r="W21" s="142">
        <f>Sheet2!B17</f>
        <v>175</v>
      </c>
      <c r="X21" s="144">
        <f>W21*V21</f>
        <v>16668.75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3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390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3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12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9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9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62.6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219.1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82">
        <f>N8</f>
        <v>1572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1600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1600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1600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1600</v>
      </c>
      <c r="T31" s="47" t="s">
        <v>348</v>
      </c>
      <c r="U31" s="57">
        <f>INT((S31-4)/25)+1</f>
        <v>64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1600</v>
      </c>
      <c r="E2" s="1">
        <f>تسجيل2!E7</f>
        <v>1600</v>
      </c>
      <c r="F2" s="1">
        <f>تسجيل2!E7</f>
        <v>1600</v>
      </c>
      <c r="G2" s="1">
        <f>تسجيل2!E7</f>
        <v>1600</v>
      </c>
      <c r="H2" s="8">
        <f>تسجيل2!E7</f>
        <v>1600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1600</v>
      </c>
      <c r="E6" s="1">
        <f>IF(E3=0,E2,E2-E3-E4+10)</f>
        <v>1600</v>
      </c>
      <c r="F6" s="1">
        <f>IF(F3=0,F2,F2-F3-F4+10)</f>
        <v>1600</v>
      </c>
      <c r="G6" s="1">
        <f>IF(G3=0,G2,G2-G3-G4+10)</f>
        <v>1600</v>
      </c>
      <c r="H6" s="8">
        <f>IF(H3=0,H2,H2-H3-H4+10)</f>
        <v>1600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1600</v>
      </c>
      <c r="L6" s="10">
        <f>IF('Format (2)'!E8=1,تسجيل2!E7-30,IF('Format (2)'!E8=2,D7,IF('Format (2)'!E8=3,E7,IF('Format (2)'!E8=4,F7,IF('Format (2)'!E8=5,G7,IF('Format (2)'!E8=6,H7,"-----"))))))</f>
        <v>1570</v>
      </c>
    </row>
    <row r="7">
      <c r="A7" s="783"/>
      <c r="B7" s="784"/>
      <c r="C7" s="19" t="s">
        <v>278</v>
      </c>
      <c r="D7" s="6">
        <f>D6-30</f>
        <v>1570</v>
      </c>
      <c r="E7" s="6">
        <f>E6-17</f>
        <v>1583</v>
      </c>
      <c r="F7" s="6">
        <f>F6-30</f>
        <v>1570</v>
      </c>
      <c r="G7" s="6">
        <f>G6-17</f>
        <v>1583</v>
      </c>
      <c r="H7" s="9">
        <f>H6-30</f>
        <v>1570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1600</v>
      </c>
      <c r="E11" s="1">
        <f>تسجيل2!E7</f>
        <v>1600</v>
      </c>
      <c r="F11" s="1">
        <f>تسجيل2!E7</f>
        <v>1600</v>
      </c>
      <c r="G11" s="1">
        <f>تسجيل2!E7</f>
        <v>1600</v>
      </c>
      <c r="H11" s="8">
        <f>تسجيل2!E7</f>
        <v>1600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1600</v>
      </c>
      <c r="L14" s="10">
        <f>IF('Format (2)'!E8=1,تسجيل2!E7-30,IF('Format (2)'!E8=2,D16,IF('Format (2)'!E8=3,E16,IF('Format (2)'!E8=4,F16,IF('Format (2)'!E8=5,G16,IF('Format (2)'!E8=6,H16))))))</f>
        <v>1570</v>
      </c>
    </row>
    <row r="15">
      <c r="A15" s="787"/>
      <c r="B15" s="788"/>
      <c r="C15" s="10" t="s">
        <v>276</v>
      </c>
      <c r="D15" s="1">
        <f>IF(D12=0,D11,D11-D12-D13+11)</f>
        <v>1600</v>
      </c>
      <c r="E15" s="1">
        <f>IF(E12=0,E11,E11-E12-E13+11)</f>
        <v>1600</v>
      </c>
      <c r="F15" s="1">
        <f>IF(F12=0,F11,F11-F12-F13+11)</f>
        <v>1600</v>
      </c>
      <c r="G15" s="1">
        <f>IF(G12=0,G11,G11-G12-G13+11)</f>
        <v>1600</v>
      </c>
      <c r="H15" s="8">
        <f>IF(H12=0,H11,H11-H12-H13+11)</f>
        <v>1600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1570</v>
      </c>
      <c r="E16" s="6">
        <f>E15-17</f>
        <v>1583</v>
      </c>
      <c r="F16" s="6">
        <f>F15-30</f>
        <v>1570</v>
      </c>
      <c r="G16" s="6">
        <f>G15-17</f>
        <v>1583</v>
      </c>
      <c r="H16" s="9">
        <f>H15-30</f>
        <v>1570</v>
      </c>
      <c r="Q16" s="10">
        <f>IF('Format (2)'!A7=1,K6,IF('Format (2)'!A7=3,K6,IF('Format (2)'!A7=4,K23,IF('Format (2)'!A7=2,K23,IF('Format (2)'!A7=5,K14,"------")))))</f>
        <v>1600</v>
      </c>
      <c r="R16" s="10">
        <f>IF('Format (2)'!A7=1,L6,IF('Format (2)'!A7=3,L6,IF('Format (2)'!A7=4,L23,IF('Format (2)'!A7=2,L23+2,IF('Format (2)'!A7=5,L14,"------")))))</f>
        <v>1572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1600</v>
      </c>
      <c r="E20" s="1">
        <f>تسجيل2!E7</f>
        <v>1600</v>
      </c>
      <c r="F20" s="1">
        <f>تسجيل2!E7</f>
        <v>1600</v>
      </c>
      <c r="G20" s="1">
        <f>تسجيل2!E7</f>
        <v>1600</v>
      </c>
      <c r="H20" s="8">
        <f>تسجيل2!E7</f>
        <v>1600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1600</v>
      </c>
      <c r="L23" s="10">
        <f>IF('Format (2)'!E8=1,تسجيل2!E7-30,IF('Format (2)'!E8=2,D25,IF('Format (2)'!E8=3,E25,IF('Format (2)'!E8=4,F25,IF('Format (2)'!E8=5,G25,IF('Format (2)'!E8=6,H25))))))</f>
        <v>1570</v>
      </c>
    </row>
    <row r="24">
      <c r="A24" s="793"/>
      <c r="B24" s="794"/>
      <c r="C24" s="10" t="s">
        <v>276</v>
      </c>
      <c r="D24" s="1">
        <f>IF(D21=0,D20,D20-D21-D22+11)</f>
        <v>1600</v>
      </c>
      <c r="E24" s="1">
        <f>IF(E21=0,E20,E20-E21-E22+11)</f>
        <v>1600</v>
      </c>
      <c r="F24" s="1">
        <f>IF(F21=0,F20,F20-F21-F22+11)</f>
        <v>1600</v>
      </c>
      <c r="G24" s="1">
        <f>IF(G21=0,G20,G20-G21-G22+11)</f>
        <v>1600</v>
      </c>
      <c r="H24" s="8">
        <f>IF(H21=0,H20,H20-H21-H22+11)</f>
        <v>1600</v>
      </c>
    </row>
    <row r="25">
      <c r="A25" s="795"/>
      <c r="B25" s="796"/>
      <c r="C25" s="19" t="s">
        <v>278</v>
      </c>
      <c r="D25" s="6">
        <f>D24-30</f>
        <v>1570</v>
      </c>
      <c r="E25" s="6">
        <f>E24-13</f>
        <v>1587</v>
      </c>
      <c r="F25" s="6">
        <f>F24-30</f>
        <v>1570</v>
      </c>
      <c r="G25" s="6">
        <f>G24-13</f>
        <v>1587</v>
      </c>
      <c r="H25" s="9">
        <f>H24-30</f>
        <v>1570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500</v>
      </c>
      <c r="J4" s="15">
        <v>4</v>
      </c>
      <c r="K4" s="15">
        <v>2</v>
      </c>
    </row>
    <row r="5">
      <c r="A5" s="1" t="s">
        <v>257</v>
      </c>
      <c r="B5" s="1">
        <f>تسجيل2!E7</f>
        <v>1600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1600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1568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1565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1568</v>
      </c>
      <c r="F8" s="1">
        <f>IF('Format (2)'!A7=1,C6,IF('Format (2)'!A7=2,C7,IF('Format (2)'!A7=3,C8,IF('Format (2)'!A7=4,C9,IF('Format (2)'!A7=5,C10)))))</f>
        <v>1565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1568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1600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1600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1600</v>
      </c>
      <c r="F16" s="1">
        <f>IF('Format (2)'!A7=1,C14,IF('Format (2)'!A7=2,C15,IF('Format (2)'!A7=3,C16,IF('Format (2)'!A7=4,C17,IF('Format (2)'!A7=5,C118)))))</f>
        <v>1600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1600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16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1600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500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42D1D3BC-08DB-43C8-894C-CCB93544F703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42DF8E-AAA9-4841-A8EC-44B3196D0E65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E5527FB3-8800-44AA-84FB-7B721427A956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54CF082-3A60-4C43-BD64-3FD24521D2EB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C5F2B60F-A30D-4319-A6BE-A7392037243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AFCE2A8D-9F1D-40C8-B975-80445796B4CC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777C174-4858-47EA-BE0F-6055019DDE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36091C5D-8604-4D56-B5BF-F5B1CB82805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2775F18-D8C5-46DA-998B-2ACE5E57429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7EE57E8-832C-42F8-9014-06F2C91FBE5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F9FD41A-C0D2-4B8C-838B-3FD861F55DCE}">
          <x14:formula1>
            <xm:f>wavy2!$A$19:$A$20</xm:f>
          </x14:formula1>
          <xm:sqref>BE9</xm:sqref>
        </x14:dataValidation>
        <x14:dataValidation type="list" allowBlank="1" showInputMessage="1" showErrorMessage="1" xr:uid="{8D5195B2-4140-4C9E-ABB2-6887C53828E9}">
          <x14:formula1>
            <xm:f>wavy1!$A$19:$A$20</xm:f>
          </x14:formula1>
          <xm:sqref>AT9</xm:sqref>
        </x14:dataValidation>
        <x14:dataValidation type="list" allowBlank="1" showInputMessage="1" showErrorMessage="1" xr:uid="{8F924FD2-E40A-4DA4-AFE5-780B493F1542}">
          <x14:formula1>
            <xm:f>Sheet2!$B$5:$B$7</xm:f>
          </x14:formula1>
          <xm:sqref>T25 T46 T64</xm:sqref>
        </x14:dataValidation>
        <x14:dataValidation type="list" allowBlank="1" showInputMessage="1" showErrorMessage="1" xr:uid="{D3839514-E2A7-4A79-9EDD-4F5964943FAA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F88D1DA-BA32-4940-A7A2-D568AEA74934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0778D07-625C-4188-A58F-FF7D5AB8FBBF}">
          <x14:formula1>
            <xm:f>Sheet2!$C$5:$C$6</xm:f>
          </x14:formula1>
          <xm:sqref>T26</xm:sqref>
        </x14:dataValidation>
        <x14:dataValidation type="list" allowBlank="1" showInputMessage="1" showErrorMessage="1" xr:uid="{7948512C-EB6D-430C-AC14-217EC0E69D22}">
          <x14:formula1>
            <xm:f>Sheet2!$A$5</xm:f>
          </x14:formula1>
          <xm:sqref>U31</xm:sqref>
        </x14:dataValidation>
        <x14:dataValidation type="list" allowBlank="1" showInputMessage="1" showErrorMessage="1" xr:uid="{318F40A9-495B-412C-99F6-E5CD7FA9D56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F6ADC08B-BC05-4CD5-B41F-6E19371DBED3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15A821DE-8D3B-4D3E-8924-FBA01C367F9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AC36F02F-0AA7-4BD4-A901-0DC6339A349A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3900C2C0-EA92-46CB-95A8-51D30900DDB3}">
          <x14:formula1>
            <xm:f>Sheet2!$D$5:$D$6</xm:f>
          </x14:formula1>
          <xm:sqref>T32 T53 T71</xm:sqref>
        </x14:dataValidation>
        <x14:dataValidation type="list" allowBlank="1" showInputMessage="1" showErrorMessage="1" xr:uid="{CA1006D6-27FE-48DF-8720-EB09DE483397}">
          <x14:formula1>
            <xm:f>Sheet2!$A$6</xm:f>
          </x14:formula1>
          <xm:sqref>AC36</xm:sqref>
        </x14:dataValidation>
        <x14:dataValidation type="list" allowBlank="1" showInputMessage="1" showErrorMessage="1" xr:uid="{2A6E60FD-4236-4B07-B03C-A03D163837E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45638.565942256944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2BED08A-E569-4419-BF5E-8710AF22F52E}">
      <formula1>$N$2:$N$20</formula1>
    </dataValidation>
    <dataValidation type="list" allowBlank="1" showInputMessage="1" showErrorMessage="1" sqref="G63:G75" xr:uid="{DAF11ECE-8D23-43C6-B5D3-C4A2A70160D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45638.565942256944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34.56</v>
      </c>
      <c r="G10" s="211"/>
      <c r="H10" s="211">
        <f>H9*B9+B8*H8+H7*B7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3.3600000000000003</v>
      </c>
      <c r="G15" s="211"/>
      <c r="H15" s="211"/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5000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8780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577.5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7000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22680.833333333332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1575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28000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29575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250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2" s="240">
        <f t="shared" si="14"/>
        <v>4000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250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3000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250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250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5" s="240">
        <f t="shared" si="14"/>
        <v>3000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149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1500</v>
      </c>
      <c r="I81" s="560"/>
      <c r="J81" s="564"/>
      <c r="K81" s="565">
        <f>SUBTOTAL(109,Table161229[اجمالي])</f>
        <v>18000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4888A3F-B226-489A-B9B7-40179CDDDE23}">
      <formula1>$U$4:$U$5</formula1>
    </dataValidation>
    <dataValidation type="list" allowBlank="1" showInputMessage="1" showErrorMessage="1" sqref="F72:F80" xr:uid="{5A084C23-E117-4A85-AD20-21A4AB01E364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45638.565942256944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AF5E637-7F11-477F-8B73-54788B2227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45638.565942256944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5C3E8F1-2B80-4A77-9500-0A74FBFDB5F6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304D11C1-9A8C-40E1-BC73-98BC548A10F3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45638.565942256944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45638.565942256944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45638.565942256944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45638.565942256944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88FA2AC6-09B5-4C0D-BF1B-B8FABEDDF10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