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image/jpeg" Extension="jpeg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comments+xml" PartName="/xl/comments2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810" windowWidth="20730" windowHeight="11325" tabRatio="597" firstSheet="1" activeTab="1"/>
  </bookViews>
  <sheets>
    <sheet name="Sheet2" sheetId="1" r:id="rId1"/>
    <sheet name="تسعير" sheetId="3" r:id="rId2"/>
    <sheet name="Royal" sheetId="2" state="hidden" r:id="rId3"/>
    <sheet name="تسجيل1" sheetId="4" state="hidden" r:id="rId4"/>
    <sheet name="Cutting Ro-1" sheetId="5" state="hidden" r:id="rId5"/>
    <sheet name="تسجيل2" sheetId="10" state="hidden" r:id="rId6"/>
    <sheet name="Cutting Ro-2" sheetId="11" state="hidden" r:id="rId7"/>
    <sheet name="Format (2)" sheetId="12" state="hidden" r:id="rId8"/>
    <sheet name="Format Οδηγων (2)" sheetId="13" state="hidden" r:id="rId9"/>
    <sheet name="Format Φωτισμου (2)" sheetId="14" state="hidden" r:id="rId10"/>
    <sheet name="Format διαστασης οδηγου (2)" sheetId="15" state="hidden" r:id="rId11"/>
    <sheet name="Format" sheetId="6" state="hidden" r:id="rId12"/>
    <sheet name="Format Οδηγων" sheetId="7" state="hidden" r:id="rId13"/>
    <sheet name="Format Φωτισμου" sheetId="8" state="hidden" r:id="rId14"/>
    <sheet name="Format διαστασης οδηγου" sheetId="9" state="hidden" r:id="rId15"/>
    <sheet name="wavy1" sheetId="22" state="hidden" r:id="rId16"/>
    <sheet name="Royal2" sheetId="23" state="hidden" r:id="rId17"/>
    <sheet name="شماسي و كانتليفر" sheetId="24" state="hidden" r:id="rId18"/>
    <sheet name="wavy2" sheetId="25" state="hidden" r:id="rId19"/>
    <sheet name="بيرسا و لوفرز" sheetId="26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Royal!$A$1:$L$83</definedName>
    <definedName name="_xlnm.Print_Area" localSheetId="4">'Cutting Ro-1'!$A$1:$N$44</definedName>
    <definedName name="_xlnm.Print_Area" localSheetId="6">'Cutting Ro-2'!$A$1:$N$44</definedName>
    <definedName name="_xlnm.Print_Area" localSheetId="16">Royal2!$A$1:$L$89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<sst xmlns="http://schemas.openxmlformats.org/spreadsheetml/2006/main" count="581" uniqueCount="581">
  <si>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</si>
  <si>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</si>
  <si>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</si>
  <si>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</si>
  <si>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</si>
  <si>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</si>
  <si>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</si>
  <si>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</si>
  <si>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</si>
  <si>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>العرض</t>
  </si>
  <si>
    <t xml:space="preserve">امتداد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</si>
  <si>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</si>
  <si>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</si>
  <si>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</si>
  <si>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</si>
  <si>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</si>
  <si>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</si>
  <si>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</si>
  <si>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</si>
  <si>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</si>
  <si>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</si>
  <si>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</si>
  <si>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</si>
  <si>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</si>
  <si>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</si>
  <si>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</si>
  <si>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</si>
  <si>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</si>
  <si>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</si>
  <si>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</si>
  <si>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</si>
  <si>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</si>
  <si>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</si>
  <si>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</si>
  <si>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</si>
  <si>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</si>
  <si>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</si>
  <si>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</si>
  <si>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</si>
  <si>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</si>
  <si>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</si>
  <si>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</si>
  <si>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</si>
  <si>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</si>
  <si>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</si>
  <si>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</si>
  <si>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</si>
  <si>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</si>
  <si>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</si>
  <si>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</si>
  <si>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</si>
  <si>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</si>
  <si>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</si>
  <si>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</si>
  <si>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</si>
  <si>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</si>
  <si>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</si>
  <si>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</si>
  <si>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</si>
  <si>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</si>
  <si>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</si>
  <si>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</si>
  <si>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</si>
  <si>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</si>
  <si>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</si>
  <si>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</si>
  <si>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</si>
  <si>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</si>
  <si>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</si>
  <si>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</si>
  <si>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</si>
  <si>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</si>
  <si>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</si>
  <si>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</si>
  <si>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</si>
  <si>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</si>
  <si>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</si>
  <si>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</si>
  <si>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</si>
  <si>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</si>
  <si>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</si>
  <si>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</si>
  <si>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</si>
  <si>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</si>
  <si>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</si>
  <si>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</si>
  <si>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</si>
  <si>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</si>
  <si>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</si>
  <si>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</si>
  <si>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</si>
  <si>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</si>
  <si>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</si>
  <si>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</si>
  <si>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 GREY</t>
  </si>
  <si>
    <t>Column12</t>
  </si>
  <si>
    <t>الدقهلية</t>
  </si>
  <si>
    <t>JOTAMASTIC 80 GREY</t>
  </si>
  <si>
    <t>كمر حديد(C) 14سم 12 متر</t>
  </si>
  <si>
    <t>شبك 12 م</t>
  </si>
  <si>
    <t>الشرقية</t>
  </si>
  <si>
    <t>HARDTOP XP (WHITE/BLACK/GREY)</t>
  </si>
  <si>
    <t>كمر حديد(C) 14سم 6 متر</t>
  </si>
  <si>
    <t>كفر الشيخ</t>
  </si>
  <si>
    <t>HARDTOP XP COLOR</t>
  </si>
  <si>
    <t>دمياط</t>
  </si>
  <si>
    <t>BARRIER 80</t>
  </si>
  <si>
    <t>مستلزمات حدادة و تركيبات</t>
  </si>
  <si>
    <t>بورسعيد</t>
  </si>
  <si>
    <t>THINNER 17</t>
  </si>
  <si>
    <t>سعر الكيلو</t>
  </si>
  <si>
    <t>السويس</t>
  </si>
  <si>
    <t>THINNER 10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</si>
  <si>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</si>
  <si>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</si>
  <si>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</si>
  <si>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</si>
  <si>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</si>
  <si>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</si>
  <si>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</si>
  <si>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</si>
  <si>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</si>
  <si>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</si>
  <si>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</si>
  <si>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</si>
  <si>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</si>
  <si>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</si>
  <si>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</si>
  <si>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</si>
  <si>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</si>
  <si>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</si>
  <si>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</si>
  <si>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</si>
  <si>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</si>
  <si>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</si>
  <si>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</si>
  <si>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</si>
  <si>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</si>
  <si>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</si>
  <si>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</si>
  <si>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</si>
  <si>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</si>
  <si>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</si>
  <si>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</si>
  <si>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</si>
  <si>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</si>
  <si>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</si>
  <si>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</si>
  <si>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</si>
  <si>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</si>
  <si>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18.7 L</t>
  </si>
  <si>
    <t>18.3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</si>
  <si>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</si>
  <si>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</si>
  <si>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</si>
  <si>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</si>
  <si>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</si>
  <si>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</si>
  <si>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</si>
  <si>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</si>
  <si>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</si>
  <si>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</si>
  <si>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</si>
  <si>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</si>
  <si>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</si>
  <si>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</si>
  <si>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</si>
  <si>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</si>
  <si>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</si>
  <si>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</si>
  <si>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</si>
  <si>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</si>
  <si>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</si>
  <si>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</si>
  <si>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</si>
  <si>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</si>
  <si>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</si>
  <si>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</si>
  <si>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</si>
  <si>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</si>
  <si>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</si>
  <si>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</si>
  <si>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</si>
  <si>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</si>
  <si>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</si>
  <si>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</si>
  <si>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</si>
  <si>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</si>
  <si>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</si>
  <si>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</si>
  <si>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</si>
  <si>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</si>
  <si>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</si>
  <si>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</si>
  <si>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</si>
  <si>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</si>
  <si>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</si>
  <si>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</si>
  <si>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</si>
  <si>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</si>
  <si>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</si>
  <si>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</si>
  <si>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</si>
  <si>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</si>
  <si>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</si>
  <si>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</si>
  <si>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</si>
  <si>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</si>
  <si>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شمسية رويال مربعة</t>
  </si>
  <si>
    <t>مصري</t>
  </si>
  <si>
    <t>no</t>
  </si>
  <si>
    <t>المحرك</t>
  </si>
  <si>
    <t>يدوي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</si>
  <si>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</si>
  <si>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</si>
  <si>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</si>
  <si>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</si>
  <si>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</si>
  <si>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</si>
  <si>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</si>
  <si>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بالتات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</si>
  <si>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</si>
  <si>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</si>
  <si>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</si>
  <si>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</si>
  <si>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</si>
  <si>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</si>
  <si>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</si>
  <si>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اسباني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</si>
  <si>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</si>
  <si>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</si>
  <si>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</si>
  <si>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</si>
  <si>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</si>
  <si>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</si>
  <si>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</si>
  <si>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</si>
  <si>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</si>
  <si>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</si>
  <si>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</si>
  <si>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t>موتور</t>
  </si>
  <si>
    <r xmlns="http://schemas.openxmlformats.org/spreadsheetml/2006/main"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</si>
  <si>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</si>
  <si>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</si>
  <si>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</si>
  <si>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</si>
  <si>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</si>
  <si>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B</t>
  </si>
  <si>
    <t>C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</si>
  <si>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</si>
  <si>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</si>
  <si>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</si>
  <si>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</si>
  <si>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</si>
  <si>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</si>
  <si>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</si>
  <si>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</si>
  <si>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</si>
  <si>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</si>
  <si>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 xml:space="preserve">ماتور  برجولة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</si>
  <si>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</si>
  <si>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</si>
  <si>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</si>
  <si>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</si>
  <si>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</si>
  <si>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</si>
  <si>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</si>
  <si>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</si>
  <si>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</si>
  <si>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</si>
  <si>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</si>
  <si>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</si>
  <si>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</si>
  <si>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</si>
  <si>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</si>
  <si>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</si>
  <si>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</si>
  <si>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</si>
  <si>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</si>
  <si>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</si>
  <si>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</si>
  <si>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</si>
  <si>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</si>
  <si>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</si>
  <si>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</si>
  <si>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</si>
  <si>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</si>
  <si>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</si>
  <si>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</si>
  <si>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</si>
  <si>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</si>
  <si>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علبة حديد 5*10*2mm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</si>
  <si>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</si>
  <si>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</si>
  <si>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</si>
  <si>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</si>
  <si>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</si>
  <si>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</si>
  <si>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</si>
  <si>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</si>
  <si>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</si>
  <si>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</si>
  <si>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</si>
  <si>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</si>
  <si>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</si>
  <si>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</si>
  <si>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</si>
  <si>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</si>
  <si>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</si>
  <si>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9 L</t>
  </si>
  <si>
    <t>اخري</t>
  </si>
  <si>
    <t>قاعدة خرسانة</t>
  </si>
  <si>
    <t>متر مكعب</t>
  </si>
  <si>
    <t>ويفي</t>
  </si>
  <si>
    <t>اجمالي الميزان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</si>
  <si>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</si>
  <si>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</si>
  <si>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</si>
  <si>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</si>
  <si>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</si>
  <si>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</si>
  <si>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</si>
  <si>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</si>
  <si>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</si>
  <si>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</si>
  <si>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</si>
  <si>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</si>
  <si>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</si>
  <si>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</si>
  <si>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</si>
  <si>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</si>
  <si>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</si>
  <si>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</si>
  <si>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</si>
  <si>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</si>
  <si>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</si>
  <si>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</si>
  <si>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</si>
  <si>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</si>
  <si>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</si>
  <si>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</si>
  <si>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</si>
  <si>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</si>
  <si>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</si>
  <si>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</si>
  <si>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</si>
  <si>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</si>
  <si>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</si>
  <si>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</si>
  <si>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</si>
  <si>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</si>
  <si>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</si>
  <si>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</si>
  <si>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</si>
  <si>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</si>
  <si>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</si>
  <si>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</si>
  <si>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</si>
  <si>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</si>
  <si>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</si>
  <si>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</si>
  <si>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</si>
  <si>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</si>
  <si>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</si>
  <si>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</si>
  <si>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</si>
  <si>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</si>
  <si>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</si>
  <si>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single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</si>
  <si>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</si>
  <si>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</si>
  <si>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</si>
  <si>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</si>
  <si>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</si>
  <si>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</si>
  <si>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</si>
  <si>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</si>
  <si>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</si>
  <si>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</si>
  <si>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</si>
  <si>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</si>
  <si>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</si>
  <si>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</si>
  <si>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</si>
  <si>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</si>
  <si>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</si>
  <si>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</si>
  <si>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</si>
  <si>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</si>
  <si>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</si>
  <si>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</si>
  <si>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</si>
  <si>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</si>
  <si>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</si>
  <si>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</si>
  <si>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</si>
  <si>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</si>
  <si>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</si>
  <si>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</si>
  <si>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</si>
  <si>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</si>
  <si>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</si>
  <si>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</si>
  <si>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</si>
  <si>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</si>
  <si>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</si>
  <si>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</si>
  <si>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</si>
  <si>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</si>
  <si>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</si>
  <si>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</si>
  <si>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</si>
  <si>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</si>
  <si>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</si>
  <si>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</si>
  <si>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</si>
  <si>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</si>
  <si>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</si>
  <si>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</si>
  <si>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</si>
  <si>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</si>
  <si>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</si>
  <si>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</si>
  <si>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</si>
  <si>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</si>
  <si>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</si>
  <si>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</si>
  <si>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</si>
  <si>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</si>
  <si>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</si>
  <si>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</si>
  <si>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</si>
  <si>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</si>
  <si>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</si>
  <si>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</si>
  <si>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بيرسا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</si>
  <si>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</si>
  <si>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</si>
  <si>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</si>
  <si>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</si>
  <si>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</si>
  <si>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</si>
  <si>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</si>
  <si>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</si>
  <si>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</si>
  <si>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</si>
  <si>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</si>
  <si>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</si>
  <si>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</si>
  <si>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</si>
  <si>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</si>
  <si>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</si>
  <si>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</si>
  <si>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</si>
  <si>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</si>
  <si>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</si>
  <si>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</si>
  <si>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</si>
  <si>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</si>
  <si>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</si>
  <si>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</si>
  <si>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</si>
  <si>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</si>
  <si>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</si>
  <si>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</si>
  <si>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</si>
  <si>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</si>
  <si>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</si>
  <si>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</si>
  <si>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</si>
  <si>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</si>
  <si>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</si>
  <si>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</si>
  <si>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</si>
  <si>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</si>
  <si>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</si>
  <si>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</si>
  <si>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</si>
  <si>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</si>
  <si>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</si>
  <si>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</si>
  <si>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</si>
  <si>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</si>
  <si>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</si>
  <si>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</si>
  <si>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</si>
  <si>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</si>
  <si>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</si>
  <si>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</si>
  <si>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</si>
  <si>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</si>
  <si>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</si>
  <si>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</si>
  <si>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</si>
  <si>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</si>
  <si>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</si>
  <si>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</si>
  <si>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</si>
  <si>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</si>
  <si>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</si>
  <si>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</si>
  <si>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</si>
  <si>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</si>
  <si>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</si>
  <si>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</si>
  <si>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</si>
  <si>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</si>
  <si>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</si>
  <si>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</si>
  <si>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</si>
  <si>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</si>
  <si>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</si>
  <si>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</si>
  <si>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</si>
  <si>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</si>
  <si>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</si>
  <si>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</si>
  <si>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</si>
  <si>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</si>
  <si>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</si>
  <si>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</si>
  <si>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</si>
  <si>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</si>
  <si>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>EVO</t>
  </si>
  <si>
    <t>X</t>
  </si>
  <si>
    <t xml:space="preserve">مساحة 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</si>
  <si>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</si>
  <si>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</si>
  <si>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</si>
  <si>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</si>
  <si>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</si>
  <si>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</si>
  <si>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</si>
  <si>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</si>
  <si>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</si>
  <si>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</si>
  <si>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</si>
  <si>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</si>
  <si>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</si>
  <si>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</si>
  <si>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</si>
  <si>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</si>
  <si>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</si>
  <si>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</si>
  <si>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</si>
  <si>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</si>
  <si>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</si>
  <si>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</si>
  <si>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</si>
  <si>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</si>
  <si>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</si>
  <si>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</si>
  <si>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</si>
  <si>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</si>
  <si>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</si>
  <si>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</si>
  <si>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</si>
  <si>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</si>
  <si>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</si>
  <si>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</si>
  <si>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</si>
  <si>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</si>
  <si>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</si>
  <si>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</si>
  <si>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</si>
  <si>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</si>
  <si>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</si>
  <si>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</si>
  <si>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</si>
  <si>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</si>
  <si>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</si>
  <si>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</si>
  <si>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</si>
  <si>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</si>
  <si>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</si>
  <si>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</si>
  <si>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</si>
  <si>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</si>
  <si>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</si>
  <si>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</si>
  <si>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Royal pergola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</si>
</sst>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[$-F800]dddd\,\ mmmm\ dd\,\ yyyy"/>
    <numFmt numFmtId="165" formatCode="0.0000"/>
    <numFmt numFmtId="166" formatCode="dd\ mmm\ yyyy"/>
    <numFmt numFmtId="167" formatCode="0.0"/>
    <numFmt numFmtId="168" formatCode="#,##0.0"/>
    <numFmt numFmtId="169" formatCode="_(* #,##0_);_(* \(#,##0\);_(* &quot;-&quot;??_);_(@_)"/>
    <numFmt numFmtId="170" formatCode="0.000"/>
    <numFmt numFmtId="171" formatCode="0.0%"/>
  </numFmts>
  <fonts count="10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b/>
      <sz val="12"/>
      <name val="Arial Greek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sz val="12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sz val="12"/>
      <name val="Arial Greek"/>
    </font>
    <font>
      <sz val="14"/>
      <name val="Arial Greek"/>
    </font>
    <font>
      <sz val="10"/>
      <name val="Arial Greek"/>
    </font>
    <font>
      <b/>
      <sz val="12"/>
      <name val="Arial"/>
      <family val="2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10"/>
      <name val="Arial Greek"/>
      <charset val="161"/>
    </font>
    <font>
      <b/>
      <sz val="10"/>
      <name val="Arial Greek"/>
    </font>
    <font>
      <b/>
      <sz val="8"/>
      <name val="Arial Greek"/>
      <charset val="161"/>
    </font>
    <font>
      <b/>
      <sz val="8"/>
      <name val="Arial Greek"/>
    </font>
    <font>
      <b/>
      <sz val="14"/>
      <name val="Arial Greek"/>
      <charset val="161"/>
    </font>
    <font>
      <sz val="16"/>
      <name val="Arial Greek"/>
    </font>
    <font>
      <b/>
      <sz val="12"/>
      <name val="Arial Greek"/>
      <charset val="161"/>
    </font>
    <font>
      <b/>
      <sz val="8"/>
      <name val="Arial"/>
      <family val="2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4"/>
      <color theme="1"/>
      <name val="Arial Greek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48"/>
      <color rgb="FFFFFF00"/>
      <name val="Algerian"/>
      <family val="5"/>
    </font>
    <font>
      <sz val="28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2"/>
      <color rgb="FFFF0000"/>
      <name val="Calibri"/>
      <family val="2"/>
      <scheme val="minor"/>
    </font>
    <font>
      <sz val="48"/>
      <color theme="0"/>
      <name val="Algerian"/>
      <family val="5"/>
    </font>
    <font>
      <sz val="22"/>
      <color rgb="FF002060"/>
      <name val="Andalus"/>
      <family val="1"/>
    </font>
    <font>
      <sz val="36"/>
      <color theme="1"/>
      <name val="Andalus"/>
      <family val="1"/>
    </font>
    <font>
      <sz val="11"/>
      <color theme="0"/>
      <name val="Calibri"/>
      <family val="2"/>
      <scheme val="minor"/>
    </font>
    <font>
      <sz val="48"/>
      <color theme="3" tint="-0.499984740745262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30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color theme="1"/>
      <name val="Calibri"/>
      <family val="2"/>
      <charset val="161"/>
      <scheme val="minor"/>
    </font>
    <font>
      <sz val="2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50"/>
      <color theme="1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72"/>
      <color rgb="FFFFFF00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7FBBD"/>
        <bgColor indexed="64"/>
      </patternFill>
    </fill>
    <fill>
      <patternFill patternType="solid">
        <fgColor theme="3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/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4"/>
      </left>
      <right style="medium">
        <color indexed="64"/>
      </right>
      <top style="double">
        <color theme="4"/>
      </top>
      <bottom style="thin">
        <color theme="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5">
    <xf numFmtId="0" fontId="0" fillId="0" borderId="0" applyProtection="1"/>
    <xf numFmtId="43" applyNumberFormat="1" fontId="42" applyFont="1" fillId="0" borderId="0" applyProtection="1"/>
    <xf numFmtId="0" fontId="2" applyFont="1" fillId="0" borderId="0" applyProtection="1"/>
    <xf numFmtId="0" fontId="4" applyFont="1" fillId="0" borderId="0" applyProtection="1"/>
    <xf numFmtId="9" applyNumberFormat="1" fontId="42" applyFont="1" fillId="0" borderId="0" applyProtection="1"/>
  </cellStyleXfs>
  <cellXfs count="792">
    <xf numFmtId="0" fontId="0" fillId="0" borderId="0" xfId="0" applyProtection="1"/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4" applyFont="1" fillId="0" borderId="0" xfId="3" applyProtection="1"/>
    <xf numFmtId="0" fontId="6" applyFont="1" fillId="3" applyFill="1" borderId="35" applyBorder="1" xfId="3" applyProtection="1" applyAlignment="1">
      <alignment horizontal="center"/>
    </xf>
    <xf numFmtId="0" fontId="6" applyFont="1" fillId="3" applyFill="1" borderId="9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left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7" applyFont="1" fillId="0" borderId="0" xfId="3" applyProtection="1" applyAlignment="1">
      <alignment horizontal="center"/>
    </xf>
    <xf numFmtId="0" fontId="6" applyFont="1" fillId="0" borderId="0" xfId="3" applyProtection="1"/>
    <xf numFmtId="0" fontId="4" applyFont="1" fillId="0" borderId="0" xfId="3" applyProtection="1" applyAlignment="1">
      <alignment vertical="center"/>
    </xf>
    <xf numFmtId="0" fontId="4" applyFont="1" fillId="0" borderId="0" xfId="3" applyProtection="1" applyAlignment="1">
      <alignment horizontal="center" vertical="center" wrapText="1"/>
    </xf>
    <xf numFmtId="166" applyNumberFormat="1" fontId="4" applyFont="1" fillId="0" borderId="0" xfId="3" applyProtection="1" applyAlignment="1">
      <alignment horizontal="center" vertical="center" wrapText="1"/>
    </xf>
    <xf numFmtId="2" applyNumberFormat="1" fontId="9" applyFont="1" fillId="0" borderId="0" xfId="3" applyProtection="1" applyAlignment="1">
      <alignment horizontal="center" vertical="center" shrinkToFit="1"/>
    </xf>
    <xf numFmtId="166" applyNumberFormat="1" fontId="4" applyFont="1" fillId="0" borderId="0" xfId="3" applyProtection="1" applyAlignment="1">
      <alignment vertical="center" wrapText="1"/>
    </xf>
    <xf numFmtId="0" fontId="13" applyFont="1" fillId="0" borderId="35" applyBorder="1" xfId="3" applyProtection="1" applyAlignment="1">
      <alignment horizontal="center"/>
    </xf>
    <xf numFmtId="0" fontId="10" applyFont="1" fillId="0" borderId="35" applyBorder="1" xfId="3" applyProtection="1" applyAlignment="1">
      <alignment vertical="center"/>
    </xf>
    <xf numFmtId="0" fontId="14" applyFont="1" fillId="0" borderId="34" applyBorder="1" xfId="3" applyProtection="1" applyAlignment="1">
      <alignment vertical="center"/>
    </xf>
    <xf numFmtId="0" fontId="17" applyFont="1" fillId="0" borderId="0" xfId="3" applyProtection="1" applyAlignment="1">
      <alignment vertical="center" shrinkToFit="1"/>
    </xf>
    <xf numFmtId="0" fontId="18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9" applyFont="1" fillId="0" borderId="0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9" applyFont="1" fillId="0" borderId="9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167" applyNumberFormat="1" fontId="20" applyFont="1" fillId="0" borderId="0" xfId="3" applyProtection="1" applyAlignment="1">
      <alignment horizontal="center" vertical="center" shrinkToFit="1"/>
    </xf>
    <xf numFmtId="0" fontId="11" applyFont="1" fillId="0" borderId="18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167" applyNumberFormat="1" fontId="18" applyFont="1" fillId="0" borderId="0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22" applyFont="1" fillId="0" borderId="16" applyBorder="1" xfId="3" applyProtection="1" applyAlignment="1">
      <alignment horizontal="center"/>
    </xf>
    <xf numFmtId="0" fontId="23" applyFont="1" fillId="0" borderId="0" xfId="3" applyProtection="1" applyAlignment="1">
      <alignment horizontal="center"/>
    </xf>
    <xf numFmtId="0" fontId="23" applyFont="1" fillId="0" borderId="0" xfId="3" applyProtection="1" applyAlignment="1">
      <alignment vertical="center"/>
    </xf>
    <xf numFmtId="0" fontId="22" applyFont="1" fillId="0" borderId="9" applyBorder="1" xfId="3" applyProtection="1" applyAlignment="1">
      <alignment vertical="center" shrinkToFit="1"/>
    </xf>
    <xf numFmtId="0" fontId="22" applyFont="1" fillId="0" borderId="9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22" applyFont="1" fillId="0" borderId="1" applyBorder="1" xfId="3" applyProtection="1" applyAlignment="1">
      <alignment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3" applyFill="1" borderId="1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4" applyFont="1" fillId="0" borderId="0" xfId="3" applyProtection="1"/>
    <xf numFmtId="0" fontId="22" applyFont="1" fillId="0" borderId="0" xfId="3" applyProtection="1" applyAlignment="1">
      <alignment horizontal="center"/>
    </xf>
    <xf numFmtId="0" fontId="23" applyFont="1" fillId="0" borderId="0" xfId="3" applyProtection="1"/>
    <xf numFmtId="0" fontId="4" applyFont="1" fillId="0" borderId="34" applyBorder="1" xfId="3" applyProtection="1"/>
    <xf numFmtId="0" fontId="22" applyFont="1" fillId="0" borderId="34" applyBorder="1" xfId="3" applyProtection="1" applyAlignment="1">
      <alignment horizontal="center"/>
    </xf>
    <xf numFmtId="0" fontId="23" applyFont="1" fillId="0" borderId="34" applyBorder="1" xfId="3" applyProtection="1" applyAlignment="1">
      <alignment horizontal="center"/>
    </xf>
    <xf numFmtId="0" fontId="24" applyFont="1" fillId="0" borderId="34" applyBorder="1" xfId="3" applyProtection="1"/>
    <xf numFmtId="0" fontId="23" applyFont="1" fillId="0" borderId="34" applyBorder="1" xfId="3" applyProtection="1"/>
    <xf numFmtId="0" fontId="25" applyFont="1" fillId="0" borderId="34" applyBorder="1" xfId="3" applyProtection="1" applyAlignment="1">
      <alignment vertical="center" shrinkToFit="1"/>
    </xf>
    <xf numFmtId="0" fontId="25" applyFont="1" fillId="0" borderId="21" applyBorder="1" xfId="3" applyProtection="1" applyAlignment="1">
      <alignment vertical="center" shrinkToFit="1"/>
    </xf>
    <xf numFmtId="0" fontId="25" applyFont="1" fillId="0" borderId="0" xfId="3" applyProtection="1" applyAlignment="1">
      <alignment vertical="center" shrinkToFit="1"/>
    </xf>
    <xf numFmtId="0" fontId="27" applyFont="1" fillId="0" borderId="0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18" applyFont="1" fillId="0" borderId="23" applyBorder="1" xfId="3" applyProtection="1" applyAlignment="1">
      <alignment vertical="center" wrapText="1"/>
    </xf>
    <xf numFmtId="0" fontId="18" applyFont="1" fillId="0" borderId="35" applyBorder="1" xfId="3" applyProtection="1" applyAlignment="1">
      <alignment vertical="center" wrapText="1"/>
    </xf>
    <xf numFmtId="0" fontId="18" applyFont="1" fillId="0" borderId="2" applyBorder="1" xfId="3" applyProtection="1" applyAlignment="1">
      <alignment vertical="center" wrapText="1"/>
    </xf>
    <xf numFmtId="0" fontId="4" applyFont="1" fillId="0" borderId="35" applyBorder="1" xfId="3" applyProtection="1"/>
    <xf numFmtId="0" fontId="30" applyFont="1" fillId="0" borderId="0" xfId="3" applyProtection="1" applyAlignment="1">
      <alignment horizontal="center" shrinkToFit="1"/>
    </xf>
    <xf numFmtId="0" fontId="4" applyFont="1" fillId="0" borderId="20" applyBorder="1" xfId="3" applyProtection="1"/>
    <xf numFmtId="0" fontId="4" applyFont="1" fillId="0" borderId="21" applyBorder="1" xfId="3" applyProtection="1" applyAlignment="1">
      <alignment vertical="center"/>
    </xf>
    <xf numFmtId="0" fontId="4" applyFont="1" fillId="0" borderId="32" applyBorder="1" xfId="3" applyProtection="1"/>
    <xf numFmtId="0" fontId="4" applyFont="1" fillId="0" borderId="36" applyBorder="1" xfId="3" applyProtection="1"/>
    <xf numFmtId="0" fontId="4" applyFont="1" fillId="0" borderId="33" applyBorder="1" xfId="3" applyProtection="1" applyAlignment="1">
      <alignment vertical="center"/>
    </xf>
    <xf numFmtId="0" fontId="4" applyFont="1" fillId="0" borderId="37" applyBorder="1" xfId="3" applyProtection="1"/>
    <xf numFmtId="0" fontId="4" applyFont="1" fillId="0" borderId="38" applyBorder="1" xfId="3" applyProtection="1" applyAlignment="1">
      <alignment vertical="center"/>
    </xf>
    <xf numFmtId="0" fontId="4" applyFont="1" fillId="0" borderId="23" applyBorder="1" xfId="3" applyProtection="1"/>
    <xf numFmtId="0" fontId="4" applyFont="1" fillId="0" borderId="2" applyBorder="1" xfId="3" applyProtection="1" applyAlignment="1">
      <alignment vertical="center"/>
    </xf>
    <xf numFmtId="0" fontId="5" applyFont="1" fillId="0" borderId="34" applyBorder="1" xfId="3" applyProtection="1"/>
    <xf numFmtId="2" applyNumberFormat="1" fontId="5" applyFont="1" fillId="0" borderId="34" applyBorder="1" xfId="3" applyProtection="1"/>
    <xf numFmtId="0" fontId="31" applyFont="1" fillId="0" borderId="34" applyBorder="1" xfId="3" applyProtection="1"/>
    <xf numFmtId="0" fontId="31" applyFont="1" fillId="0" borderId="21" applyBorder="1" xfId="3" applyProtection="1" applyAlignment="1">
      <alignment vertical="center"/>
    </xf>
    <xf numFmtId="0" fontId="31" applyFont="1" fillId="0" borderId="0" xfId="3" applyProtection="1" applyAlignment="1">
      <alignment vertical="center"/>
    </xf>
    <xf numFmtId="0" fontId="5" applyFont="1" fillId="0" borderId="37" applyBorder="1" xfId="3" applyProtection="1"/>
    <xf numFmtId="0" fontId="5" applyFont="1" fillId="0" borderId="0" xfId="3" applyProtection="1"/>
    <xf numFmtId="0" fontId="5" applyFont="1" fillId="0" borderId="32" applyBorder="1" xfId="3" applyProtection="1"/>
    <xf numFmtId="0" fontId="5" applyFont="1" fillId="0" borderId="36" applyBorder="1" xfId="3" applyProtection="1"/>
    <xf numFmtId="0" fontId="5" applyFont="1" fillId="0" borderId="33" applyBorder="1" xfId="3" applyProtection="1"/>
    <xf numFmtId="0" fontId="31" applyFont="1" fillId="0" borderId="0" xfId="3" applyProtection="1"/>
    <xf numFmtId="0" fontId="5" applyFont="1" fillId="0" borderId="0" xfId="3" applyProtection="1" applyAlignment="1">
      <alignment horizontal="center"/>
    </xf>
    <xf numFmtId="0" fontId="5" applyFont="1" fillId="0" borderId="23" applyBorder="1" xfId="3" applyProtection="1"/>
    <xf numFmtId="0" fontId="5" applyFont="1" fillId="0" borderId="35" applyBorder="1" xfId="3" applyProtection="1"/>
    <xf numFmtId="0" fontId="5" applyFont="1" fillId="0" borderId="2" applyBorder="1" xfId="3" applyProtection="1"/>
    <xf numFmtId="0" fontId="4" applyFont="1" fillId="0" borderId="24" applyBorder="1" xfId="3" applyProtection="1" applyAlignment="1">
      <alignment horizontal="center"/>
    </xf>
    <xf numFmtId="0" fontId="4" applyFont="1" fillId="0" borderId="39" applyBorder="1" xfId="3" applyProtection="1" applyAlignment="1">
      <alignment horizontal="center"/>
    </xf>
    <xf numFmtId="0" fontId="4" applyFont="1" fillId="0" borderId="37" applyBorder="1" xfId="3" applyProtection="1" applyAlignment="1">
      <alignment horizontal="center"/>
    </xf>
    <xf numFmtId="0" fontId="4" applyFont="1" fillId="0" borderId="38" applyBorder="1" xfId="3" applyProtection="1"/>
    <xf numFmtId="0" fontId="4" applyFont="1" fillId="0" borderId="39" applyBorder="1" xfId="3" applyProtection="1"/>
    <xf numFmtId="0" fontId="4" applyFont="1" fillId="0" borderId="9" applyBorder="1" xfId="3" applyProtection="1" applyAlignment="1">
      <alignment horizontal="center"/>
    </xf>
    <xf numFmtId="0" fontId="4" applyFont="1" fillId="0" borderId="2" applyBorder="1" xfId="3" applyProtection="1"/>
    <xf numFmtId="0" fontId="4" applyFont="1" fillId="0" borderId="9" applyBorder="1" xfId="3" applyProtection="1"/>
    <xf numFmtId="0" fontId="4" applyFont="1" fillId="3" applyFill="1" borderId="17" applyBorder="1" xfId="3" applyProtection="1" applyAlignment="1">
      <alignment horizontal="center"/>
    </xf>
    <xf numFmtId="0" fontId="4" applyFont="1" fillId="3" applyFill="1" borderId="28" applyBorder="1" xfId="3" applyProtection="1" applyAlignment="1">
      <alignment horizontal="center"/>
    </xf>
    <xf numFmtId="0" fontId="4" applyFont="1" fillId="3" applyFill="1" borderId="16" applyBorder="1" xfId="3" applyProtection="1" applyAlignment="1">
      <alignment horizontal="center"/>
    </xf>
    <xf numFmtId="0" fontId="4" applyFont="1" fillId="3" applyFill="1" borderId="20" applyBorder="1" xfId="3" applyProtection="1" applyAlignment="1">
      <alignment horizontal="center"/>
    </xf>
    <xf numFmtId="0" fontId="4" applyFont="1" fillId="7" applyFill="1" borderId="24" applyBorder="1" xfId="3" applyProtection="1" applyAlignment="1">
      <alignment horizontal="center"/>
    </xf>
    <xf numFmtId="0" fontId="4" applyFont="1" fillId="7" applyFill="1" borderId="33" applyBorder="1" xfId="3" applyProtection="1" applyAlignment="1">
      <alignment horizontal="center"/>
    </xf>
    <xf numFmtId="0" fontId="4" applyFont="1" fillId="3" applyFill="1" borderId="26" applyBorder="1" xfId="3" applyProtection="1" applyAlignment="1">
      <alignment horizontal="center"/>
    </xf>
    <xf numFmtId="0" fontId="4" applyFont="1" fillId="3" applyFill="1" borderId="27" applyBorder="1" xfId="3" applyProtection="1" applyAlignment="1">
      <alignment horizontal="center"/>
    </xf>
    <xf numFmtId="0" fontId="4" applyFont="1" fillId="7" applyFill="1" borderId="9" applyBorder="1" xfId="3" applyProtection="1" applyAlignment="1">
      <alignment horizontal="center"/>
    </xf>
    <xf numFmtId="0" fontId="4" applyFont="1" fillId="7" applyFill="1" borderId="2" applyBorder="1" xfId="3" applyProtection="1" applyAlignment="1">
      <alignment horizontal="center"/>
    </xf>
    <xf numFmtId="0" fontId="4" applyFont="1" fillId="0" borderId="1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14" applyBorder="1" xfId="3" applyProtection="1">
      <protection locked="0"/>
    </xf>
    <xf numFmtId="0" fontId="4" applyFont="1" fillId="8" applyFill="1" borderId="0" xfId="3" applyProtection="1">
      <protection locked="0"/>
    </xf>
    <xf numFmtId="0" fontId="4" applyFont="1" fillId="8" applyFill="1" borderId="7" applyBorder="1" xfId="3" applyProtection="1">
      <protection locked="0"/>
    </xf>
    <xf numFmtId="0" fontId="4" applyFont="1" fillId="0" borderId="7" applyBorder="1" xfId="3" applyProtection="1">
      <protection locked="0"/>
    </xf>
    <xf numFmtId="0" fontId="4" applyFont="1" fillId="0" borderId="8" applyBorder="1" xfId="3" applyProtection="1">
      <protection locked="0"/>
    </xf>
    <xf numFmtId="16" applyNumberFormat="1" fontId="4" applyFont="1" fillId="0" borderId="0" xfId="3" applyProtection="1">
      <protection locked="0"/>
    </xf>
    <xf numFmtId="16" applyNumberFormat="1" fontId="4" applyFont="1" fillId="0" borderId="0" xfId="3" applyProtection="1" applyAlignment="1">
      <alignment horizontal="center"/>
      <protection locked="0"/>
    </xf>
    <xf numFmtId="0" fontId="17" applyFont="1" fillId="0" borderId="13" applyBorder="1" xfId="3" applyProtection="1">
      <protection locked="0"/>
    </xf>
    <xf numFmtId="0" fontId="17" applyFont="1" fillId="0" borderId="0" xfId="3" applyProtection="1">
      <protection locked="0"/>
    </xf>
    <xf numFmtId="0" fontId="17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>
      <protection locked="0"/>
    </xf>
    <xf numFmtId="0" fontId="32" applyFont="1" fillId="0" borderId="14" applyBorder="1" xfId="3" applyProtection="1"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1" applyNumberFormat="1" fontId="17" applyFont="1" fillId="0" borderId="0" xfId="3" applyProtection="1">
      <protection locked="0"/>
    </xf>
    <xf numFmtId="0" fontId="4" applyFont="1" fillId="0" borderId="6" applyBorder="1" xfId="3" applyProtection="1">
      <protection locked="0"/>
    </xf>
    <xf numFmtId="1" applyNumberFormat="1" fontId="17" applyFont="1" fillId="0" borderId="7" applyBorder="1" xfId="3" applyProtection="1">
      <protection locked="0"/>
    </xf>
    <xf numFmtId="1" applyNumberFormat="1" fontId="4" applyFont="1" fillId="0" borderId="7" applyBorder="1" xfId="3" applyProtection="1">
      <protection locked="0"/>
    </xf>
    <xf numFmtId="0" fontId="4" applyFont="1" fillId="0" borderId="7" applyBorder="1" xfId="3" applyProtection="1" applyAlignment="1">
      <alignment horizontal="center"/>
      <protection locked="0"/>
    </xf>
    <xf numFmtId="0" fontId="4" applyFont="1" fillId="0" borderId="36" applyBorder="1" xfId="3" applyProtection="1" applyAlignment="1">
      <alignment horizontal="center"/>
    </xf>
    <xf numFmtId="0" fontId="4" applyFont="1" fillId="0" borderId="33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0" fontId="4" applyFont="1" fillId="0" borderId="35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5" applyBorder="1" xfId="3" applyProtection="1" applyAlignment="1">
      <alignment horizontal="center"/>
      <protection locked="0"/>
    </xf>
    <xf numFmtId="0" fontId="4" applyFont="1" fillId="0" borderId="20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</xf>
    <xf numFmtId="0" fontId="4" applyFont="1" fillId="0" borderId="32" applyBorder="1" xfId="3" applyProtection="1" applyAlignment="1">
      <alignment horizontal="center"/>
    </xf>
    <xf numFmtId="0" fontId="4" applyFont="1" fillId="0" borderId="23" applyBorder="1" xfId="3" applyProtection="1" applyAlignment="1">
      <alignment horizontal="center"/>
    </xf>
    <xf numFmtId="3" applyNumberFormat="1" fontId="6" applyFont="1" fillId="3" applyFill="1" borderId="9" applyBorder="1" xfId="3" applyProtection="1" applyAlignment="1">
      <alignment horizontal="center"/>
      <protection locked="0"/>
    </xf>
    <xf numFmtId="3" applyNumberFormat="1" fontId="6" applyFont="1" fillId="3" applyFill="1" borderId="2" applyBorder="1" xfId="3" applyProtection="1" applyAlignment="1">
      <alignment horizontal="center"/>
      <protection locked="0"/>
    </xf>
    <xf numFmtId="4" applyNumberFormat="1" fontId="33" applyFont="1" fillId="2" applyFill="1" borderId="0" xfId="3" applyProtection="1" applyAlignment="1">
      <alignment vertical="center"/>
    </xf>
    <xf numFmtId="0" fontId="0" fillId="0" borderId="0" xfId="0" applyProtection="1" applyAlignment="1">
      <alignment horizontal="center" vertical="center"/>
    </xf>
    <xf numFmtId="0" fontId="10" applyFont="1" fillId="0" borderId="11" applyBorder="1" xfId="3" applyProtection="1" applyAlignment="1">
      <alignment vertical="center"/>
    </xf>
    <xf numFmtId="4" applyNumberFormat="1" fontId="14" applyFont="1" fillId="6" applyFill="1" borderId="11" applyBorder="1" xfId="3" applyProtection="1" applyAlignment="1">
      <alignment vertical="center"/>
    </xf>
    <xf numFmtId="0" fontId="5" applyFont="1" fillId="0" borderId="1" applyBorder="1" xfId="3" applyProtection="1" applyAlignment="1">
      <alignment horizontal="center" vertical="center"/>
    </xf>
    <xf numFmtId="165" applyNumberFormat="1" fontId="37" applyFont="1" fillId="0" borderId="1" applyBorder="1" xfId="3" applyProtection="1" applyAlignment="1">
      <alignment horizontal="center" vertical="center"/>
    </xf>
    <xf numFmtId="0" fontId="37" applyFont="1" fillId="0" borderId="1" applyBorder="1" xfId="3" applyProtection="1" applyAlignment="1">
      <alignment horizontal="center" vertical="center" wrapText="1"/>
    </xf>
    <xf numFmtId="166" applyNumberFormat="1" fontId="37" applyFont="1" fillId="0" borderId="1" applyBorder="1" xfId="3" applyProtection="1" applyAlignment="1">
      <alignment horizontal="center" vertical="center" wrapText="1"/>
    </xf>
    <xf numFmtId="0" fontId="10" applyFont="1" fillId="0" borderId="1" applyBorder="1" xfId="3" applyProtection="1" applyAlignment="1">
      <alignment horizontal="center" vertical="center"/>
    </xf>
    <xf numFmtId="0" fontId="10" applyFont="1" fillId="3" applyFill="1" borderId="1" applyBorder="1" xfId="3" applyProtection="1" applyAlignment="1">
      <alignment horizontal="center" vertical="center"/>
    </xf>
    <xf numFmtId="0" fontId="37" applyFont="1" fillId="3" applyFill="1" borderId="1" applyBorder="1" xfId="3" applyProtection="1" applyAlignment="1">
      <alignment horizontal="center" vertical="center"/>
    </xf>
    <xf numFmtId="165" applyNumberFormat="1" fontId="37" applyFont="1" fillId="3" applyFill="1" borderId="1" applyBorder="1" xfId="3" applyProtection="1" applyAlignment="1">
      <alignment horizontal="center" vertical="center"/>
    </xf>
    <xf numFmtId="0" fontId="25" applyFont="1" fillId="0" borderId="1" applyBorder="1" xfId="3" applyProtection="1" applyAlignment="1">
      <alignment horizontal="center" vertical="center" shrinkToFit="1"/>
    </xf>
    <xf numFmtId="0" fontId="30" applyFont="1" fillId="0" borderId="1" applyBorder="1" xfId="3" applyProtection="1" applyAlignment="1">
      <alignment horizontal="center" vertical="center" shrinkToFit="1"/>
    </xf>
    <xf numFmtId="0" fontId="16" applyFont="1" fillId="3" applyFill="1" borderId="34" applyBorder="1" xfId="3" applyProtection="1" applyAlignment="1">
      <alignment horizontal="center"/>
    </xf>
    <xf numFmtId="0" fontId="14" applyFont="1" fillId="3" applyFill="1" borderId="21" applyBorder="1" xfId="3" applyProtection="1" applyAlignment="1">
      <alignment vertical="center"/>
    </xf>
    <xf numFmtId="0" fontId="37" applyFont="1" fillId="0" borderId="1" applyBorder="1" xfId="3" applyProtection="1" applyAlignment="1">
      <alignment horizontal="center" vertical="center"/>
    </xf>
    <xf numFmtId="4" applyNumberFormat="1" fontId="37" applyFont="1" fillId="0" borderId="1" applyBorder="1" xfId="3" applyProtection="1" applyAlignment="1">
      <alignment horizontal="center" vertical="center"/>
    </xf>
    <xf numFmtId="0" fontId="14" applyFont="1" fillId="3" applyFill="1" borderId="1" applyBorder="1" xfId="3" applyProtection="1" applyAlignment="1">
      <alignment horizontal="center" vertical="center"/>
    </xf>
    <xf numFmtId="2" applyNumberFormat="1" fontId="37" applyFont="1" fillId="3" applyFill="1" borderId="1" applyBorder="1" xfId="3" applyProtection="1" applyAlignment="1">
      <alignment horizontal="center" vertical="center"/>
    </xf>
    <xf numFmtId="0" fontId="37" applyFont="1" fillId="4" applyFill="1" borderId="1" applyBorder="1" xfId="3" applyProtection="1" applyAlignment="1">
      <alignment horizontal="center" vertical="center"/>
    </xf>
    <xf numFmtId="0" fontId="25" applyFont="1" fillId="0" borderId="1" applyBorder="1" xfId="3" applyProtection="1" applyAlignment="1">
      <alignment horizontal="center" vertical="center"/>
    </xf>
    <xf numFmtId="0" fontId="5" applyFont="1" fillId="9" applyFill="1" borderId="1" applyBorder="1" xfId="3" applyProtection="1" applyAlignment="1">
      <alignment horizontal="center" vertical="center"/>
    </xf>
    <xf numFmtId="165" applyNumberFormat="1" fontId="5" applyFont="1" fillId="9" applyFill="1" borderId="1" applyBorder="1" xfId="3" applyProtection="1" applyAlignment="1">
      <alignment horizontal="center" vertical="center"/>
    </xf>
    <xf numFmtId="0" fontId="37" applyFont="1" fillId="6" applyFill="1" borderId="1" applyBorder="1" xfId="3" applyProtection="1" applyAlignment="1">
      <alignment horizontal="center" vertical="center"/>
    </xf>
    <xf numFmtId="0" fontId="37" applyFont="1" fillId="0" borderId="0" xfId="3" applyProtection="1" applyAlignment="1">
      <alignment horizontal="center" vertical="center"/>
    </xf>
    <xf numFmtId="165" applyNumberFormat="1" fontId="37" applyFont="1" fillId="9" applyFill="1" borderId="1" applyBorder="1" xfId="3" applyProtection="1" applyAlignment="1">
      <alignment horizontal="center" vertical="center"/>
    </xf>
    <xf numFmtId="0" fontId="37" applyFont="1" fillId="9" applyFill="1" borderId="1" applyBorder="1" xfId="3" applyProtection="1" applyAlignment="1">
      <alignment horizontal="center" vertical="center"/>
    </xf>
    <xf numFmtId="0" fontId="37" applyFont="1" fillId="0" borderId="20" applyBorder="1" xfId="3" applyProtection="1" applyAlignment="1">
      <alignment horizontal="center" vertical="center"/>
    </xf>
    <xf numFmtId="165" applyNumberFormat="1" fontId="37" applyFont="1" fillId="0" borderId="24" applyBorder="1" xfId="3" applyProtection="1" applyAlignment="1">
      <alignment horizontal="center" vertical="center"/>
    </xf>
    <xf numFmtId="0" fontId="37" applyFont="1" fillId="0" borderId="24" applyBorder="1" xfId="3" applyProtection="1" applyAlignment="1">
      <alignment horizontal="center" vertical="center"/>
    </xf>
    <xf numFmtId="165" applyNumberFormat="1" fontId="37" applyFont="1" fillId="0" borderId="9" applyBorder="1" xfId="3" applyProtection="1" applyAlignment="1">
      <alignment horizontal="center" vertical="center"/>
    </xf>
    <xf numFmtId="0" fontId="37" applyFont="1" fillId="0" borderId="9" applyBorder="1" xfId="3" applyProtection="1" applyAlignment="1">
      <alignment horizontal="center" vertical="center"/>
    </xf>
    <xf numFmtId="14" applyNumberFormat="1" fontId="1" applyFont="1" fillId="0" borderId="28" applyBorder="1" xfId="0" applyProtection="1" applyAlignment="1">
      <alignment horizontal="center"/>
    </xf>
    <xf numFmtId="3" applyNumberFormat="1" fontId="37" applyFont="1" fillId="3" applyFill="1" borderId="1" applyBorder="1" xfId="3" applyProtection="1" applyAlignment="1">
      <alignment horizontal="center" vertical="center"/>
    </xf>
    <xf numFmtId="3" applyNumberFormat="1" fontId="37" applyFont="1" fillId="9" applyFill="1" borderId="1" applyBorder="1" xfId="3" applyProtection="1" applyAlignment="1">
      <alignment horizontal="center" vertical="center"/>
    </xf>
    <xf numFmtId="3" applyNumberFormat="1" fontId="37" applyFont="1" fillId="6" applyFill="1" borderId="1" applyBorder="1" xfId="3" applyProtection="1" applyAlignment="1">
      <alignment horizontal="center" vertical="center"/>
    </xf>
    <xf numFmtId="0" fontId="5" applyFont="1" fillId="9" applyFill="1" borderId="20" applyBorder="1" xfId="3" applyProtection="1" applyAlignment="1">
      <alignment horizontal="center" vertical="center"/>
    </xf>
    <xf numFmtId="0" fontId="37" applyFont="1" fillId="0" borderId="32" applyBorder="1" xfId="3" applyProtection="1" applyAlignment="1">
      <alignment horizontal="center" vertical="center"/>
    </xf>
    <xf numFmtId="0" fontId="10" applyFont="1" fillId="9" applyFill="1" borderId="1" applyBorder="1" xfId="3" applyProtection="1" applyAlignment="1">
      <alignment horizontal="center" vertical="center" shrinkToFit="1"/>
    </xf>
    <xf numFmtId="0" fontId="10" applyFont="1" fillId="0" borderId="1" applyBorder="1" xfId="3" applyProtection="1" applyAlignment="1">
      <alignment horizontal="center" vertical="center" shrinkToFit="1"/>
    </xf>
    <xf numFmtId="0" fontId="25" applyFont="1" fillId="9" applyFill="1" borderId="1" applyBorder="1" xfId="3" applyProtection="1" applyAlignment="1">
      <alignment horizontal="center" vertical="center"/>
    </xf>
    <xf numFmtId="165" applyNumberFormat="1" fontId="37" applyFont="1" fillId="0" borderId="17" applyBorder="1" xfId="3" applyProtection="1" applyAlignment="1">
      <alignment horizontal="center" vertical="center"/>
    </xf>
    <xf numFmtId="0" fontId="37" applyFont="1" fillId="0" borderId="18" applyBorder="1" xfId="3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 vertical="center"/>
    </xf>
    <xf numFmtId="165" applyNumberFormat="1" fontId="37" applyFont="1" fillId="0" borderId="16" applyBorder="1" xfId="3" applyProtection="1" applyAlignment="1">
      <alignment horizontal="center" vertical="center"/>
    </xf>
    <xf numFmtId="167" applyNumberFormat="1" fontId="37" applyFont="1" fillId="0" borderId="1" applyBorder="1" xfId="3" applyProtection="1" applyAlignment="1">
      <alignment horizontal="center" vertical="center"/>
    </xf>
    <xf numFmtId="165" applyNumberFormat="1" fontId="37" applyFont="1" fillId="0" borderId="26" applyBorder="1" xfId="3" applyProtection="1" applyAlignment="1">
      <alignment horizontal="center" vertical="center"/>
    </xf>
    <xf numFmtId="0" fontId="37" applyFont="1" fillId="0" borderId="10" applyBorder="1" xfId="3" applyProtection="1" applyAlignment="1">
      <alignment horizontal="center" vertical="center"/>
    </xf>
    <xf numFmtId="0" fontId="37" applyFont="1" fillId="0" borderId="27" applyBorder="1" xfId="3" applyProtection="1" applyAlignment="1">
      <alignment horizontal="center" vertical="center"/>
    </xf>
    <xf numFmtId="3" applyNumberFormat="1" fontId="10" applyFont="1" fillId="0" borderId="35" applyBorder="1" xfId="3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/>
    </xf>
    <xf numFmtId="0" fontId="3" applyFont="1" fillId="0" borderId="0" xfId="0" applyProtection="1" applyAlignment="1">
      <alignment horizont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2" applyNumberFormat="1" fontId="40" applyFont="1" fillId="0" borderId="27" applyBorder="1" xfId="0" applyProtection="1" applyAlignment="1">
      <alignment horizontal="center"/>
    </xf>
    <xf numFmtId="14" applyNumberFormat="1" fontId="1" applyFont="1" fillId="0" borderId="0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" applyFont="1" fillId="0" borderId="0" xfId="0" applyProtection="1" applyAlignment="1">
      <alignment horizontal="center"/>
      <protection locked="0"/>
    </xf>
    <xf numFmtId="164" applyNumberFormat="1" fontId="3" applyFont="1" fillId="0" borderId="0" xfId="0" applyProtection="1" applyAlignment="1">
      <alignment horizontal="center"/>
    </xf>
    <xf numFmtId="4" applyNumberFormat="1" fontId="3" applyFont="1" fillId="0" borderId="15" applyBorder="1" xfId="0" applyProtection="1" applyAlignment="1">
      <alignment horizontal="center"/>
    </xf>
    <xf numFmtId="4" applyNumberFormat="1" fontId="3" applyFont="1" fillId="0" borderId="1" applyBorder="1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34" applyFont="1" fillId="5" applyFill="1" borderId="24" applyBorder="1" xfId="0" applyProtection="1" applyAlignment="1">
      <alignment horizontal="center" shrinkToFit="1"/>
    </xf>
    <xf numFmtId="0" fontId="36" applyFont="1" fillId="0" borderId="0" xfId="0" applyProtection="1" applyAlignment="1">
      <alignment horizontal="center"/>
    </xf>
    <xf numFmtId="0" fontId="34" applyFont="1" fillId="0" borderId="0" xfId="0" applyProtection="1" applyAlignment="1">
      <alignment horizontal="center" shrinkToFit="1"/>
    </xf>
    <xf numFmtId="0" fontId="34" applyFont="1" fillId="0" borderId="0" xfId="0" applyProtection="1" applyAlignment="1">
      <alignment horizontal="center"/>
    </xf>
    <xf numFmtId="0" fontId="34" applyFont="1" fillId="2" applyFill="1" borderId="0" xfId="0" applyProtection="1" applyAlignment="1">
      <alignment horizontal="center" vertical="center" shrinkToFit="1"/>
    </xf>
    <xf numFmtId="0" fontId="3" applyFont="1" fillId="0" borderId="40" applyBorder="1" xfId="0" applyProtection="1" applyAlignment="1">
      <alignment horizontal="center" vertical="center"/>
    </xf>
    <xf numFmtId="0" fontId="3" applyFont="1" fillId="0" borderId="19" applyBorder="1" xfId="0" applyProtection="1" applyAlignment="1">
      <alignment horizontal="center" vertical="center"/>
    </xf>
    <xf numFmtId="0" fontId="38" applyFont="1" fillId="0" borderId="29" applyBorder="1" xfId="0" applyProtection="1" applyAlignment="1">
      <alignment horizontal="center" vertical="center"/>
      <protection locked="0"/>
    </xf>
    <xf numFmtId="0" fontId="38" applyFont="1" fillId="0" borderId="41" applyBorder="1" xfId="0" applyProtection="1" applyAlignment="1">
      <alignment horizontal="center" vertical="center"/>
      <protection locked="0"/>
    </xf>
    <xf numFmtId="14" applyNumberFormat="1" fontId="1" applyFont="1" fillId="3" applyFill="1" borderId="25" applyBorder="1" xfId="0" applyProtection="1" applyAlignment="1">
      <alignment horizontal="center" vertical="center"/>
    </xf>
    <xf numFmtId="0" fontId="1" applyFont="1" fillId="0" borderId="0" xfId="0" applyProtection="1"/>
    <xf numFmtId="0" fontId="1" applyFont="1" fillId="0" borderId="30" applyBorder="1" xfId="0" applyProtection="1"/>
    <xf numFmtId="0" fontId="40" applyFont="1" fillId="0" borderId="31" applyBorder="1" xfId="0" applyProtection="1"/>
    <xf numFmtId="0" fontId="3" applyFont="1" fillId="3" applyFill="1" borderId="11" applyBorder="1" xfId="0" applyProtection="1" applyAlignment="1">
      <alignment vertical="center"/>
      <protection locked="0"/>
    </xf>
    <xf numFmtId="164" applyNumberFormat="1" fontId="1" applyFont="1" fillId="0" borderId="0" xfId="0" applyProtection="1" applyAlignment="1">
      <alignment vertical="center"/>
    </xf>
    <xf numFmtId="4" applyNumberFormat="1" fontId="3" applyFont="1" fillId="0" borderId="40" applyBorder="1" xfId="0" applyProtection="1" applyAlignment="1">
      <alignment horizontal="center"/>
    </xf>
    <xf numFmtId="0" fontId="34" applyFont="1" fillId="0" borderId="0" xfId="0" applyProtection="1" applyAlignment="1">
      <alignment horizontal="center"/>
      <protection locked="0"/>
    </xf>
    <xf numFmtId="0" fontId="34" applyFont="1" fillId="0" borderId="0" xfId="0" applyProtection="1" applyAlignment="1">
      <alignment horizontal="center" vertical="center" shrinkToFit="1"/>
    </xf>
    <xf numFmtId="3" applyNumberFormat="1" fontId="34" applyFont="1" fillId="0" borderId="0" xfId="0" applyProtection="1" applyAlignment="1">
      <alignment horizontal="center"/>
    </xf>
    <xf numFmtId="2" applyNumberFormat="1" fontId="34" applyFont="1" fillId="10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3" applyFont="1" fillId="0" borderId="0" xfId="0" applyProtection="1" applyAlignment="1">
      <alignment horizontal="center"/>
    </xf>
    <xf numFmtId="0" fontId="34" applyFont="1" fillId="2" applyFill="1" borderId="0" xfId="0" applyProtection="1" applyAlignment="1">
      <alignment horizontal="center" shrinkToFit="1"/>
    </xf>
    <xf numFmtId="0" fontId="34" applyFont="1" fillId="2" applyFill="1" borderId="0" xfId="0" applyProtection="1" applyAlignment="1">
      <alignment horizontal="center"/>
    </xf>
    <xf numFmtId="4" applyNumberFormat="1" fontId="34" applyFont="1" fillId="2" applyFill="1" borderId="0" xfId="0" applyProtection="1" applyAlignment="1">
      <alignment horizontal="center"/>
    </xf>
    <xf numFmtId="4" applyNumberFormat="1" fontId="34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167" applyNumberFormat="1" fontId="34" applyFont="1" fillId="3" applyFill="1" borderId="0" xfId="0" applyProtection="1" applyAlignment="1">
      <alignment horizontal="center" textRotation="90"/>
    </xf>
    <xf numFmtId="0" fontId="34" applyFont="1" fillId="0" borderId="0" xfId="0" applyProtection="1" applyAlignment="1">
      <alignment horizontal="center" vertical="center"/>
    </xf>
    <xf numFmtId="14" applyNumberFormat="1" fontId="34" applyFont="1" fillId="0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14" applyFont="1" fillId="0" borderId="0" xfId="3" applyProtection="1" applyAlignment="1">
      <alignment horizontal="center"/>
    </xf>
    <xf numFmtId="4" applyNumberFormat="1" fontId="34" applyFont="1" fillId="0" borderId="0" xfId="0" applyProtection="1" applyAlignment="1">
      <alignment horizontal="center" shrinkToFit="1"/>
    </xf>
    <xf numFmtId="4" applyNumberFormat="1" fontId="14" applyFont="1" fillId="0" borderId="0" xfId="0" applyProtection="1" applyAlignment="1">
      <alignment horizontal="center"/>
    </xf>
    <xf numFmtId="4" applyNumberFormat="1" fontId="34" applyFont="1" fillId="5" applyFill="1" borderId="24" applyBorder="1" xfId="0" applyProtection="1" applyAlignment="1">
      <alignment horizontal="center"/>
    </xf>
    <xf numFmtId="2" applyNumberFormat="1" fontId="34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9" applyNumberFormat="1" fontId="34" applyFont="1" fillId="0" borderId="0" xfId="4" applyProtection="1" applyAlignment="1">
      <alignment horizontal="center" shrinkToFit="1"/>
    </xf>
    <xf numFmtId="9" applyNumberFormat="1" fontId="36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shrinkToFit="1"/>
    </xf>
    <xf numFmtId="2" applyNumberFormat="1" fontId="45" applyFont="1" fillId="10" applyFill="1" borderId="0" xfId="0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0" fillId="13" applyFill="1" borderId="0" xfId="0" applyProtection="1"/>
    <xf numFmtId="3" applyNumberFormat="1" fontId="43" applyFont="1" fillId="0" borderId="0" xfId="0" applyProtection="1" applyAlignment="1">
      <alignment horizontal="center"/>
    </xf>
    <xf numFmtId="1" applyNumberFormat="1" fontId="34" applyFont="1" fillId="0" borderId="0" xfId="0" applyProtection="1" applyAlignment="1">
      <alignment horizontal="center" shrinkToFit="1"/>
    </xf>
    <xf numFmtId="3" applyNumberFormat="1" fontId="50" applyFont="1" fillId="13" applyFill="1" borderId="0" xfId="0" applyProtection="1"/>
    <xf numFmtId="167" applyNumberFormat="1" fontId="36" applyFont="1" fillId="0" borderId="0" xfId="4" applyProtection="1" applyAlignment="1">
      <alignment horizontal="center"/>
    </xf>
    <xf numFmtId="0" fontId="0" fillId="5" applyFill="1" borderId="0" xfId="0" applyProtection="1"/>
    <xf numFmtId="1" applyNumberFormat="1" fontId="34" applyFont="1" fillId="0" borderId="0" xfId="0" applyProtection="1" applyAlignment="1">
      <alignment horizontal="center"/>
      <protection locked="0"/>
    </xf>
    <xf numFmtId="0" fontId="52" applyFont="1" fillId="0" borderId="3" applyBorder="1" xfId="0" applyProtection="1" applyAlignment="1">
      <alignment horizontal="center"/>
    </xf>
    <xf numFmtId="0" fontId="52" applyFont="1" fillId="0" borderId="4" applyBorder="1" xfId="0" applyProtection="1" applyAlignment="1">
      <alignment horizontal="center"/>
    </xf>
    <xf numFmtId="0" fontId="52" applyFont="1" fillId="0" borderId="5" applyBorder="1" xfId="0" applyProtection="1" applyAlignment="1">
      <alignment horizontal="center"/>
    </xf>
    <xf numFmtId="0" fontId="52" applyFont="1" fillId="0" borderId="13" applyBorder="1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52" applyFont="1" fillId="0" borderId="14" applyBorder="1" xfId="0" applyProtection="1" applyAlignment="1">
      <alignment horizontal="center"/>
    </xf>
    <xf numFmtId="0" fontId="52" applyFont="1" fillId="0" borderId="6" applyBorder="1" xfId="0" applyProtection="1" applyAlignment="1">
      <alignment horizontal="center"/>
    </xf>
    <xf numFmtId="0" fontId="52" applyFont="1" fillId="0" borderId="7" applyBorder="1" xfId="0" applyProtection="1" applyAlignment="1">
      <alignment horizontal="center"/>
    </xf>
    <xf numFmtId="0" fontId="52" applyFont="1" fillId="0" borderId="8" applyBorder="1" xfId="0" applyProtection="1" applyAlignment="1">
      <alignment horizontal="center"/>
    </xf>
    <xf numFmtId="0" fontId="0" fillId="0" borderId="6" applyBorder="1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2" applyNumberFormat="1" fontId="54" applyFont="1" fillId="10" applyFill="1" borderId="0" xfId="0" applyProtection="1" applyAlignment="1">
      <alignment horizontal="center"/>
    </xf>
    <xf numFmtId="9" applyNumberFormat="1" fontId="53" applyFont="1" fillId="0" borderId="0" xfId="4" applyProtection="1" applyAlignment="1">
      <alignment horizontal="center"/>
    </xf>
    <xf numFmtId="0" fontId="54" applyFont="1" fillId="0" borderId="0" xfId="0" applyProtection="1" applyAlignment="1">
      <alignment horizontal="center"/>
      <protection locked="0"/>
    </xf>
    <xf numFmtId="0" fontId="54" applyFont="1" fillId="0" borderId="0" xfId="0" applyProtection="1" applyAlignment="1">
      <alignment horizontal="center" vertical="center" shrinkToFit="1"/>
    </xf>
    <xf numFmtId="0" fontId="53" applyFont="1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 shrinkToFit="1"/>
    </xf>
    <xf numFmtId="0" fontId="55" applyFont="1" fillId="0" borderId="0" xfId="0" applyProtection="1" applyAlignment="1">
      <alignment horizontal="center"/>
    </xf>
    <xf numFmtId="9" applyNumberFormat="1" fontId="53" applyFont="1" fillId="0" borderId="0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36" applyFont="1" fillId="0" borderId="2" applyBorder="1" xfId="0">
      <protection hidden="1"/>
    </xf>
    <xf numFmtId="2" applyNumberFormat="1" fontId="0" fillId="0" borderId="9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21" applyBorder="1" xfId="0">
      <protection hidden="1"/>
    </xf>
    <xf numFmtId="2" applyNumberFormat="1" fontId="36" applyFont="1" fillId="0" borderId="1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0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19" applyBorder="1" xfId="0" applyAlignment="1">
      <alignment horizontal="center" vertical="center"/>
      <protection hidden="1"/>
    </xf>
    <xf numFmtId="0" fontId="36" applyFont="1" fillId="0" borderId="33" applyBorder="1" xfId="0">
      <protection hidden="1"/>
    </xf>
    <xf numFmtId="2" applyNumberFormat="1" fontId="36" applyFont="1" fillId="0" borderId="24" applyBorder="1" xfId="0" applyAlignment="1">
      <alignment horizontal="center" vertical="center"/>
      <protection hidden="1"/>
    </xf>
    <xf numFmtId="0" fontId="36" applyFont="1" fillId="0" borderId="24" applyBorder="1" xfId="0" applyAlignment="1">
      <alignment horizontal="center" vertical="center"/>
      <protection hidden="1"/>
    </xf>
    <xf numFmtId="0" fontId="36" applyFont="1" fillId="0" borderId="32" applyBorder="1" xfId="0" applyAlignment="1">
      <alignment horizontal="center" vertical="center"/>
      <protection hidden="1"/>
    </xf>
    <xf numFmtId="0" fontId="36" applyFont="1" fillId="0" borderId="16" applyBorder="1" xfId="0" applyAlignment="1">
      <alignment horizontal="center" vertical="center"/>
      <protection hidden="1"/>
    </xf>
    <xf numFmtId="0" fontId="36" applyFont="1" fillId="0" borderId="43" applyBorder="1" xfId="0" applyAlignment="1">
      <alignment horizontal="center" vertical="center"/>
      <protection hidden="1"/>
    </xf>
    <xf numFmtId="0" fontId="36" applyFont="1" fillId="0" borderId="1" applyBorder="1" xfId="0" applyProtection="1"/>
    <xf numFmtId="0" fontId="36" applyFont="1" fillId="0" borderId="1" applyBorder="1" xfId="0" applyProtection="1" applyAlignment="1">
      <alignment horizontal="center" vertical="center"/>
    </xf>
    <xf numFmtId="0" fontId="36" applyFont="1" fillId="0" borderId="26" applyBorder="1" xfId="0" applyAlignment="1">
      <alignment horizontal="center" vertical="center"/>
      <protection hidden="1"/>
    </xf>
    <xf numFmtId="0" fontId="36" applyFont="1" fillId="0" borderId="8" applyBorder="1" xfId="0" applyAlignment="1">
      <alignment horizontal="center" vertical="center"/>
      <protection hidden="1"/>
    </xf>
    <xf numFmtId="0" fontId="36" applyFont="1" fillId="0" borderId="32" applyBorder="1" xfId="0">
      <protection hidden="1"/>
    </xf>
    <xf numFmtId="0" fontId="36" applyFont="1" fillId="0" borderId="33" applyBorder="1" xfId="0" applyAlignment="1">
      <alignment horizontal="center" vertical="center"/>
      <protection hidden="1"/>
    </xf>
    <xf numFmtId="0" fontId="0" fillId="0" borderId="3" applyBorder="1" xfId="0" applyProtection="1"/>
    <xf numFmtId="0" fontId="0" fillId="0" borderId="4" applyBorder="1" xfId="0" applyProtection="1"/>
    <xf numFmtId="0" fontId="0" fillId="0" borderId="5" applyBorder="1" xfId="0" applyProtection="1"/>
    <xf numFmtId="0" fontId="0" fillId="0" borderId="13" applyBorder="1" xfId="0" applyProtection="1"/>
    <xf numFmtId="0" fontId="0" fillId="0" borderId="14" applyBorder="1" xfId="0" applyProtection="1"/>
    <xf numFmtId="0" fontId="0" fillId="0" borderId="3" applyBorder="1" xfId="0" applyProtection="1" applyAlignment="1">
      <alignment horizontal="center" vertical="center"/>
    </xf>
    <xf numFmtId="0" fontId="0" fillId="0" borderId="5" applyBorder="1" xfId="0" applyProtection="1" applyAlignment="1">
      <alignment horizontal="center" vertical="center"/>
    </xf>
    <xf numFmtId="0" fontId="0" fillId="0" borderId="13" applyBorder="1" xfId="0" applyProtection="1" applyAlignment="1">
      <alignment horizontal="center"/>
    </xf>
    <xf numFmtId="0" fontId="0" fillId="0" borderId="1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7" applyBorder="1" xfId="0" applyProtection="1" applyAlignment="1">
      <alignment horizontal="center"/>
    </xf>
    <xf numFmtId="0" fontId="0" fillId="0" borderId="8" applyBorder="1" xfId="0" applyProtection="1" applyAlignment="1">
      <alignment horizontal="center"/>
    </xf>
    <xf numFmtId="0" fontId="0" fillId="0" borderId="14" applyBorder="1" xfId="0" applyProtection="1" applyAlignment="1">
      <alignment vertical="center"/>
    </xf>
    <xf numFmtId="0" fontId="56" applyFont="1" fillId="13" applyFill="1" borderId="0" xfId="0" applyProtection="1"/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4" applyBorder="1" xfId="0" applyAlignment="1">
      <alignment horizontal="center" vertical="center"/>
      <protection hidden="1"/>
    </xf>
    <xf numFmtId="0" fontId="0" fillId="0" borderId="13" applyBorder="1" xfId="0">
      <protection hidden="1"/>
    </xf>
    <xf numFmtId="0" fontId="39" applyFont="1" fillId="0" borderId="0" xfId="0" applyProtection="1"/>
    <xf numFmtId="0" fontId="36" applyFont="1" fillId="0" borderId="1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0" xfId="0"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6" applyBorder="1" xfId="0">
      <protection hidden="1"/>
    </xf>
    <xf numFmtId="0" fontId="0" fillId="0" borderId="7" applyBorder="1" xfId="0">
      <protection hidden="1"/>
    </xf>
    <xf numFmtId="0" fontId="0" fillId="0" borderId="7" applyBorder="1" xfId="0" applyAlignment="1">
      <alignment horizontal="center" vertical="center"/>
      <protection hidden="1"/>
    </xf>
    <xf numFmtId="0" fontId="0" fillId="0" borderId="7" applyBorder="1" xfId="0" applyProtection="1"/>
    <xf numFmtId="0" fontId="0" fillId="0" borderId="8" applyBorder="1" xfId="0" applyProtection="1"/>
    <xf numFmtId="0" fontId="58" applyFont="1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0" fontId="50" applyFont="1" fillId="13" applyFill="1" borderId="0" xfId="0" applyProtection="1" applyAlignment="1">
      <alignment vertical="center"/>
    </xf>
    <xf numFmtId="3" applyNumberFormat="1" fontId="50" applyFont="1" fillId="13" applyFill="1" borderId="0" xfId="0" applyProtection="1" applyAlignment="1">
      <alignment vertical="center"/>
    </xf>
    <xf numFmtId="0" fontId="48" applyFont="1" fillId="5" applyFill="1" borderId="0" xfId="0" applyProtection="1" applyAlignment="1">
      <alignment vertical="center"/>
    </xf>
    <xf numFmtId="0" fontId="66" applyFont="1" fillId="13" applyFill="1" borderId="42" applyBorder="1" xfId="0" applyProtection="1" applyAlignment="1">
      <alignment horizontal="center" vertical="center"/>
    </xf>
    <xf numFmtId="0" fontId="63" applyFont="1" fillId="13" applyFill="1" borderId="0" xfId="0" applyProtection="1"/>
    <xf numFmtId="0" fontId="66" applyFont="1" fillId="13" applyFill="1" borderId="48" applyBorder="1" xfId="0" applyProtection="1" applyAlignment="1">
      <alignment vertical="center"/>
    </xf>
    <xf numFmtId="0" fontId="66" applyFont="1" fillId="13" applyFill="1" borderId="51" applyBorder="1" xfId="0" applyProtection="1" applyAlignment="1">
      <alignment vertical="center"/>
    </xf>
    <xf numFmtId="0" fontId="67" applyFont="1" fillId="13" applyFill="1" borderId="52" applyBorder="1" xfId="0" applyProtection="1" applyAlignment="1">
      <alignment vertical="center"/>
    </xf>
    <xf numFmtId="0" fontId="66" applyFont="1" fillId="13" applyFill="1" borderId="52" applyBorder="1" xfId="0" applyProtection="1" applyAlignment="1">
      <alignment vertical="center"/>
    </xf>
    <xf numFmtId="0" fontId="67" applyFont="1" fillId="13" applyFill="1" borderId="51" applyBorder="1" xfId="0" applyProtection="1" applyAlignment="1">
      <alignment vertical="center"/>
    </xf>
    <xf numFmtId="0" fontId="63" applyFont="1" fillId="13" applyFill="1" borderId="53" applyBorder="1" xfId="0" applyProtection="1"/>
    <xf numFmtId="0" fontId="67" applyFont="1" fillId="13" applyFill="1" borderId="54" applyBorder="1" xfId="0" applyProtection="1" applyAlignment="1">
      <alignment vertical="center"/>
    </xf>
    <xf numFmtId="0" fontId="63" applyFont="1" fillId="13" applyFill="1" borderId="55" applyBorder="1" xfId="0" applyProtection="1"/>
    <xf numFmtId="0" fontId="48" applyFont="1" fillId="13" applyFill="1" borderId="52" applyBorder="1" xfId="0" applyProtection="1" applyAlignment="1">
      <alignment vertical="center"/>
    </xf>
    <xf numFmtId="0" fontId="48" applyFont="1" fillId="13" applyFill="1" borderId="0" xfId="0" applyProtection="1" applyAlignment="1">
      <alignment vertical="center"/>
    </xf>
    <xf numFmtId="0" fontId="48" applyFont="1" fillId="13" applyFill="1" borderId="42" applyBorder="1" xfId="0" applyProtection="1" applyAlignment="1">
      <alignment horizontal="center" vertical="center"/>
    </xf>
    <xf numFmtId="0" fontId="0" fillId="14" applyFill="1" borderId="0" xfId="0" applyProtection="1"/>
    <xf numFmtId="0" fontId="49" applyFont="1" fillId="14" applyFill="1" borderId="0" xfId="0" applyProtection="1" applyAlignment="1">
      <alignment vertical="center"/>
    </xf>
    <xf numFmtId="0" fontId="35" applyFont="1" fillId="14" applyFill="1" borderId="0" xfId="0" applyProtection="1" applyAlignment="1">
      <alignment vertical="center"/>
    </xf>
    <xf numFmtId="0" fontId="72" applyFont="1" fillId="15" applyFill="1" borderId="59" applyBorder="1" xfId="0" applyProtection="1" applyAlignment="1">
      <alignment horizontal="center" vertical="center"/>
    </xf>
    <xf numFmtId="0" fontId="72" applyFont="1" fillId="15" applyFill="1" borderId="60" applyBorder="1" xfId="0" applyProtection="1" applyAlignment="1">
      <alignment horizontal="center" vertical="center"/>
    </xf>
    <xf numFmtId="0" fontId="70" applyFont="1" fillId="13" applyFill="1" borderId="58" applyBorder="1" xfId="0" applyProtection="1"/>
    <xf numFmtId="0" fontId="70" applyFont="1" fillId="13" applyFill="1" borderId="59" applyBorder="1" xfId="0" applyProtection="1"/>
    <xf numFmtId="0" fontId="72" applyFont="1" fillId="13" applyFill="1" borderId="61" applyBorder="1" xfId="0" applyProtection="1" applyAlignment="1">
      <alignment horizontal="center" vertical="center"/>
    </xf>
    <xf numFmtId="0" fontId="68" applyFont="1" fillId="13" applyFill="1" borderId="59" applyBorder="1" xfId="0" applyProtection="1" applyAlignment="1">
      <alignment horizontal="center" vertical="center"/>
    </xf>
    <xf numFmtId="0" fontId="60" applyFont="1" fillId="13" applyFill="1" borderId="0" xfId="0" applyProtection="1" applyAlignment="1">
      <alignment vertical="center"/>
    </xf>
    <xf numFmtId="0" fontId="75" applyFont="1" fillId="0" borderId="25" applyBorder="1" xfId="0" applyProtection="1" applyAlignment="1">
      <alignment horizontal="center" vertical="center"/>
    </xf>
    <xf numFmtId="0" fontId="75" applyFont="1" fillId="0" borderId="44" applyBorder="1" xfId="0" applyProtection="1" applyAlignment="1">
      <alignment horizontal="center" vertical="center"/>
    </xf>
    <xf numFmtId="0" fontId="75" applyFont="1" fillId="0" borderId="45" applyBorder="1" xfId="0" applyProtection="1" applyAlignment="1">
      <alignment horizontal="center" vertical="center"/>
    </xf>
    <xf numFmtId="0" fontId="69" applyFont="1" fillId="0" borderId="42" applyBorder="1" xfId="0" applyProtection="1" applyAlignment="1">
      <alignment horizontal="center" vertical="center" wrapText="1"/>
    </xf>
    <xf numFmtId="0" fontId="71" applyFont="1" fillId="0" borderId="42" applyBorder="1" xfId="0" applyProtection="1" applyAlignment="1">
      <alignment horizontal="center" vertical="center"/>
    </xf>
    <xf numFmtId="0" fontId="71" applyFont="1" fillId="0" borderId="12" applyBorder="1" xfId="0" applyProtection="1" applyAlignment="1">
      <alignment horizontal="center" vertical="center"/>
    </xf>
    <xf numFmtId="4" applyNumberFormat="1" fontId="55" applyFont="1" fillId="0" borderId="0" xfId="0" applyProtection="1" applyAlignment="1">
      <alignment horizontal="center"/>
    </xf>
    <xf numFmtId="169" applyNumberFormat="1" fontId="80" applyFont="1" fillId="13" applyFill="1" borderId="61" applyBorder="1" xfId="1" applyProtection="1" applyAlignment="1">
      <alignment horizontal="center" vertical="center"/>
    </xf>
    <xf numFmtId="0" fontId="70" applyFont="1" fillId="13" applyFill="1" borderId="0" xfId="0" applyProtection="1"/>
    <xf numFmtId="0" fontId="72" applyFont="1" fillId="13" applyFill="1" borderId="62" applyBorder="1" xfId="0" applyProtection="1" applyAlignment="1">
      <alignment horizontal="center" vertical="center"/>
    </xf>
    <xf numFmtId="0" fontId="72" applyFont="1" fillId="13" applyFill="1" borderId="63" applyBorder="1" xfId="0" applyProtection="1" applyAlignment="1">
      <alignment horizontal="center" vertical="center"/>
    </xf>
    <xf numFmtId="0" fontId="72" applyFont="1" fillId="13" applyFill="1" borderId="55" applyBorder="1" xfId="0" applyProtection="1" applyAlignment="1">
      <alignment horizontal="center" vertical="center"/>
    </xf>
    <xf numFmtId="0" fontId="72" applyFont="1" fillId="13" applyFill="1" borderId="59" applyBorder="1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/>
    </xf>
    <xf numFmtId="9" applyNumberFormat="1" fontId="34" applyFont="1" fillId="0" borderId="0" xfId="0" applyProtection="1" applyAlignment="1">
      <alignment horizontal="center" shrinkToFit="1"/>
    </xf>
    <xf numFmtId="0" fontId="81" applyFont="1" fillId="13" applyFill="1" borderId="0" xfId="0" applyProtection="1" applyAlignment="1">
      <alignment vertical="center"/>
    </xf>
    <xf numFmtId="3" applyNumberFormat="1" fontId="82" applyFont="1" fillId="13" applyFill="1" borderId="0" xfId="0" applyProtection="1" applyAlignment="1">
      <alignment vertical="center"/>
    </xf>
    <xf numFmtId="3" applyNumberFormat="1" fontId="48" applyFont="1" fillId="13" applyFill="1" borderId="13" applyBorder="1" xfId="0" applyProtection="1" applyAlignment="1">
      <alignment horizontal="center" vertical="center"/>
    </xf>
    <xf numFmtId="0" fontId="83" applyFont="1" fillId="13" applyFill="1" borderId="56" applyBorder="1" xfId="0" applyProtection="1" applyAlignment="1">
      <alignment horizontal="center" vertical="center"/>
    </xf>
    <xf numFmtId="0" fontId="83" applyFont="1" fillId="13" applyFill="1" borderId="49" applyBorder="1" xfId="0" applyProtection="1" applyAlignment="1">
      <alignment horizontal="center" vertical="center"/>
    </xf>
    <xf numFmtId="0" fontId="83" applyFont="1" fillId="13" applyFill="1" borderId="50" applyBorder="1" xfId="0" applyProtection="1" applyAlignment="1">
      <alignment horizontal="center" vertical="center"/>
    </xf>
    <xf numFmtId="0" fontId="80" applyFont="1" fillId="13" applyFill="1" borderId="0" xfId="0" applyProtection="1" applyAlignment="1">
      <alignment vertical="center"/>
    </xf>
    <xf numFmtId="0" fontId="37" applyFont="1" fillId="4" applyFill="1" borderId="0" xfId="3" applyProtection="1" applyAlignment="1">
      <alignment vertical="center"/>
    </xf>
    <xf numFmtId="168" applyNumberFormat="1" fontId="84" applyFont="1" fillId="4" applyFill="1" borderId="0" xfId="3" applyProtection="1" applyAlignment="1">
      <alignment horizontal="right"/>
    </xf>
    <xf numFmtId="0" fontId="37" applyFont="1" fillId="17" applyFill="1" borderId="0" xfId="3" applyProtection="1" applyAlignment="1">
      <alignment horizontal="center"/>
    </xf>
    <xf numFmtId="3" applyNumberFormat="1" fontId="37" applyFont="1" fillId="3" applyFill="1" borderId="0" xfId="3" applyProtection="1" applyAlignment="1">
      <alignment horizontal="center"/>
    </xf>
    <xf numFmtId="0" fontId="84" applyFont="1" fillId="16" applyFill="1" borderId="0" xfId="3" applyProtection="1" applyAlignment="1">
      <alignment horizontal="center"/>
    </xf>
    <xf numFmtId="0" fontId="37" applyFont="1" fillId="0" borderId="0" xfId="3" applyProtection="1" applyAlignment="1">
      <alignment horizontal="center"/>
    </xf>
    <xf numFmtId="167" applyNumberFormat="1" fontId="37" applyFont="1" fillId="0" borderId="0" xfId="3" applyProtection="1" applyAlignment="1">
      <alignment horizontal="center"/>
    </xf>
    <xf numFmtId="0" fontId="53" applyFont="1" fillId="0" borderId="0" xfId="3" applyProtection="1" applyAlignment="1">
      <alignment horizontal="center"/>
    </xf>
    <xf numFmtId="167" applyNumberFormat="1" fontId="53" applyFont="1" fillId="0" borderId="0" xfId="3" applyProtection="1" applyAlignment="1">
      <alignment horizontal="center"/>
    </xf>
    <xf numFmtId="167" applyNumberFormat="1" fontId="0" fillId="0" borderId="0" xfId="3" applyProtection="1" applyAlignment="1">
      <alignment horizontal="center"/>
    </xf>
    <xf numFmtId="167" applyNumberFormat="1" fontId="4" applyFont="1" fillId="0" borderId="0" xfId="3" applyProtection="1" applyAlignment="1">
      <alignment horizontal="center"/>
    </xf>
    <xf numFmtId="0" fontId="0" fillId="4" applyFill="1" borderId="0" xfId="0" applyProtection="1"/>
    <xf numFmtId="0" fontId="49" applyFont="1" fillId="4" applyFill="1" borderId="0" xfId="0" applyProtection="1" applyAlignment="1">
      <alignment vertical="center"/>
    </xf>
    <xf numFmtId="0" fontId="35" applyFont="1" fillId="4" applyFill="1" borderId="0" xfId="0" applyProtection="1" applyAlignment="1">
      <alignment vertical="center"/>
    </xf>
    <xf numFmtId="0" fontId="48" applyFont="1" fillId="4" applyFill="1" borderId="0" xfId="0" applyProtection="1" applyAlignment="1">
      <alignment vertical="center"/>
    </xf>
    <xf numFmtId="0" fontId="85" applyFont="1" fillId="2" applyFill="1" borderId="42" applyBorder="1" xfId="0" applyProtection="1" applyAlignment="1">
      <alignment horizontal="center" vertical="center"/>
    </xf>
    <xf numFmtId="0" fontId="37" applyFont="1" fillId="0" borderId="0" xfId="3" applyProtection="1"/>
    <xf numFmtId="0" fontId="86" applyFont="1" fillId="3" applyFill="1" borderId="11" applyBorder="1" xfId="0" applyProtection="1" applyAlignment="1">
      <alignment vertical="center"/>
      <protection locked="0"/>
    </xf>
    <xf numFmtId="0" fontId="81" applyFont="1" fillId="13" applyFill="1" borderId="48" applyBorder="1" xfId="0" applyProtection="1" applyAlignment="1">
      <alignment vertical="center"/>
    </xf>
    <xf numFmtId="1" applyNumberFormat="1" fontId="81" applyFont="1" fillId="13" applyFill="1" borderId="48" applyBorder="1" xfId="0" applyProtection="1" applyAlignment="1">
      <alignment vertical="center"/>
    </xf>
    <xf numFmtId="1" applyNumberFormat="1" fontId="81" applyFont="1" fillId="13" applyFill="1" borderId="48" applyBorder="1" xfId="0" applyProtection="1" applyAlignment="1">
      <alignment horizontal="center" vertical="center"/>
    </xf>
    <xf numFmtId="0" fontId="74" applyFont="1" fillId="13" applyFill="1" borderId="63" applyBorder="1" xfId="0" applyProtection="1" applyAlignment="1">
      <alignment horizontal="center" vertical="center"/>
    </xf>
    <xf numFmtId="0" fontId="73" applyFont="1" fillId="13" applyFill="1" borderId="67" applyBorder="1" xfId="0" applyProtection="1" applyAlignment="1">
      <alignment horizontal="center" vertical="center"/>
    </xf>
    <xf numFmtId="0" fontId="72" applyFont="1" fillId="13" applyFill="1" borderId="67" applyBorder="1" xfId="0" applyProtection="1" applyAlignment="1">
      <alignment horizontal="center" vertical="center"/>
    </xf>
    <xf numFmtId="0" fontId="72" applyFont="1" fillId="13" applyFill="1" borderId="68" applyBorder="1" xfId="0" applyProtection="1" applyAlignment="1">
      <alignment horizontal="center" vertical="center"/>
    </xf>
    <xf numFmtId="0" fontId="36" applyFont="1" fillId="0" borderId="36" applyBorder="1" xfId="0" applyProtection="1" applyAlignment="1">
      <alignment horizontal="center"/>
    </xf>
    <xf numFmtId="167" applyNumberFormat="1" fontId="36" applyFont="1" fillId="0" borderId="36" applyBorder="1" xfId="0" applyProtection="1" applyAlignment="1">
      <alignment horizontal="center"/>
    </xf>
    <xf numFmtId="0" fontId="36" applyFont="1" fillId="0" borderId="0" xfId="3" applyProtection="1" applyAlignment="1">
      <alignment horizontal="center"/>
    </xf>
    <xf numFmtId="167" applyNumberFormat="1" fontId="36" applyFont="1" fillId="0" borderId="0" xfId="3" applyProtection="1" applyAlignment="1">
      <alignment horizontal="center"/>
    </xf>
    <xf numFmtId="9" applyNumberFormat="1" fontId="34" applyFont="1" fillId="0" borderId="66" applyBorder="1" xfId="0" applyProtection="1" applyAlignment="1">
      <alignment horizontal="center"/>
    </xf>
    <xf numFmtId="4" applyNumberFormat="1" fontId="34" applyFont="1" fillId="18" applyFill="1" borderId="0" xfId="0" applyProtection="1" applyAlignment="1">
      <alignment horizontal="center"/>
    </xf>
    <xf numFmtId="0" fontId="55" applyFont="1" fillId="0" borderId="0" xfId="0" applyProtection="1" applyAlignment="1">
      <alignment horizontal="center"/>
      <protection locked="0"/>
    </xf>
    <xf numFmtId="4" applyNumberFormat="1" fontId="54" applyFont="1" fillId="0" borderId="0" xfId="0" applyProtection="1" applyAlignment="1">
      <alignment horizontal="center"/>
    </xf>
    <xf numFmtId="4" applyNumberFormat="1" fontId="54" applyFont="1" fillId="0" borderId="0" xfId="0" applyProtection="1" applyAlignment="1">
      <alignment horizontal="center" shrinkToFit="1"/>
    </xf>
    <xf numFmtId="0" fontId="0" fillId="13" applyFill="1" borderId="52" applyBorder="1" xfId="0" applyProtection="1"/>
    <xf numFmtId="3" applyNumberFormat="1" fontId="76" applyFont="1" fillId="13" applyFill="1" borderId="0" xfId="0" applyProtection="1"/>
    <xf numFmtId="0" fontId="50" applyFont="1" fillId="13" applyFill="1" borderId="0" xfId="0" applyProtection="1"/>
    <xf numFmtId="0" fontId="0" fillId="2" applyFill="1" borderId="0" xfId="0" applyProtection="1"/>
    <xf numFmtId="0" fontId="0" fillId="18" applyFill="1" borderId="0" xfId="0" applyProtection="1"/>
    <xf numFmtId="0" fontId="0" fillId="18" applyFill="1" borderId="0" xfId="0" applyProtection="1" applyAlignment="1">
      <alignment horizontal="center"/>
    </xf>
    <xf numFmtId="0" fontId="48" applyFont="1" fillId="18" applyFill="1" borderId="0" xfId="0" applyProtection="1" applyAlignment="1">
      <alignment vertical="center"/>
    </xf>
    <xf numFmtId="1" applyNumberFormat="1" fontId="81" applyFont="1" fillId="13" applyFill="1" borderId="59" applyBorder="1" xfId="0" applyProtection="1" applyAlignment="1">
      <alignment vertical="center"/>
    </xf>
    <xf numFmtId="0" fontId="81" applyFont="1" fillId="13" applyFill="1" borderId="59" applyBorder="1" xfId="0" applyProtection="1" applyAlignment="1">
      <alignment vertical="center"/>
    </xf>
    <xf numFmtId="1" applyNumberFormat="1" fontId="81" applyFont="1" fillId="13" applyFill="1" borderId="59" applyBorder="1" xfId="0" applyProtection="1" applyAlignment="1">
      <alignment horizontal="center" vertical="center"/>
    </xf>
    <xf numFmtId="0" fontId="67" applyFont="1" fillId="13" applyFill="1" borderId="59" applyBorder="1" xfId="0" applyProtection="1" applyAlignment="1">
      <alignment vertical="center"/>
    </xf>
    <xf numFmtId="0" fontId="66" applyFont="1" fillId="13" applyFill="1" borderId="12" applyBorder="1" xfId="0" applyProtection="1" applyAlignment="1">
      <alignment horizontal="center" vertical="center"/>
    </xf>
    <xf numFmtId="0" fontId="63" applyFont="1" fillId="13" applyFill="1" borderId="59" applyBorder="1" xfId="0" applyProtection="1"/>
    <xf numFmtId="0" fontId="48" applyFont="1" fillId="13" applyFill="1" borderId="59" applyBorder="1" xfId="0" applyProtection="1" applyAlignment="1">
      <alignment vertical="center"/>
    </xf>
    <xf numFmtId="0" fontId="68" applyFont="1" fillId="13" applyFill="1" borderId="59" applyBorder="1" xfId="0" applyProtection="1" applyAlignment="1">
      <alignment vertical="center"/>
    </xf>
    <xf numFmtId="0" fontId="88" applyFont="1" fillId="0" borderId="0" xfId="0" applyProtection="1" applyAlignment="1">
      <alignment horizontal="center"/>
    </xf>
    <xf numFmtId="0" fontId="88" applyFont="1" fillId="0" borderId="0" xfId="0" applyProtection="1" applyAlignment="1">
      <alignment horizontal="center"/>
      <protection locked="0"/>
    </xf>
    <xf numFmtId="0" fontId="88" applyFont="1" fillId="0" borderId="0" xfId="0" applyProtection="1" applyAlignment="1">
      <alignment horizontal="center" vertical="center" shrinkToFit="1"/>
    </xf>
    <xf numFmtId="0" fontId="88" applyFont="1" fillId="0" borderId="0" xfId="0" applyProtection="1" applyAlignment="1">
      <alignment horizontal="center" shrinkToFit="1"/>
    </xf>
    <xf numFmtId="0" fontId="89" applyFont="1" fillId="0" borderId="0" xfId="0" applyProtection="1" applyAlignment="1">
      <alignment horizontal="center"/>
    </xf>
    <xf numFmtId="2" applyNumberFormat="1" fontId="88" applyFont="1" fillId="10" applyFill="1" borderId="0" xfId="0" applyProtection="1" applyAlignment="1">
      <alignment horizontal="center"/>
    </xf>
    <xf numFmtId="9" applyNumberFormat="1" fontId="90" applyFont="1" fillId="0" borderId="0" xfId="0" applyProtection="1" applyAlignment="1">
      <alignment horizontal="center"/>
    </xf>
    <xf numFmtId="4" applyNumberFormat="1" fontId="88" applyFont="1" fillId="0" borderId="0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4" applyNumberFormat="1" fontId="89" applyFont="1" fillId="0" borderId="0" xfId="3" applyProtection="1" applyAlignment="1">
      <alignment horizontal="center"/>
    </xf>
    <xf numFmtId="4" applyNumberFormat="1" fontId="89" applyFont="1" fillId="0" borderId="0" xfId="0" applyProtection="1" applyAlignment="1">
      <alignment horizontal="center"/>
    </xf>
    <xf numFmtId="167" applyNumberFormat="1" fontId="0" fillId="0" borderId="0" xfId="0">
      <protection hidden="1"/>
    </xf>
    <xf numFmtId="2" applyNumberFormat="1" fontId="0" fillId="0" borderId="0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0" fontId="0" fillId="13" applyFill="1" borderId="0" xfId="0" applyProtection="1" applyAlignment="1">
      <alignment horizontal="center"/>
    </xf>
    <xf numFmtId="0" fontId="0" fillId="0" borderId="35" applyBorder="1" xfId="0" applyProtection="1"/>
    <xf numFmtId="0" fontId="0" fillId="0" borderId="2" applyBorder="1" xfId="0" applyProtection="1"/>
    <xf numFmtId="0" fontId="0" fillId="0" borderId="38" applyBorder="1" xfId="0" applyProtection="1"/>
    <xf numFmtId="0" fontId="0" fillId="0" borderId="36" applyBorder="1" xfId="0" applyProtection="1"/>
    <xf numFmtId="0" fontId="0" fillId="0" borderId="33" applyBorder="1" xfId="0" applyProtection="1"/>
    <xf numFmtId="0" fontId="73" applyFont="1" fillId="13" applyFill="1" borderId="61" applyBorder="1" xfId="0" applyProtection="1" applyAlignment="1">
      <alignment horizontal="center" vertical="center"/>
    </xf>
    <xf numFmtId="0" fontId="92" applyFont="1" fillId="2" applyFill="1" borderId="42" applyBorder="1" xfId="0" applyProtection="1" applyAlignment="1">
      <alignment horizontal="center"/>
    </xf>
    <xf numFmtId="0" fontId="86" applyFont="1" fillId="2" applyFill="1" borderId="0" xfId="0" applyProtection="1" applyAlignment="1">
      <alignment horizontal="center" vertical="center" shrinkToFit="1"/>
    </xf>
    <xf numFmtId="0" fontId="34" applyFont="1" fillId="0" borderId="0" xfId="0" applyAlignment="1">
      <alignment horizontal="center" vertical="center" shrinkToFit="1"/>
      <protection hidden="1"/>
    </xf>
    <xf numFmtId="1" applyNumberFormat="1" fontId="0" fillId="0" borderId="0" xfId="0">
      <protection hidden="1"/>
    </xf>
    <xf numFmtId="0" fontId="0" fillId="0" borderId="32" applyBorder="1" xfId="0">
      <protection hidden="1"/>
    </xf>
    <xf numFmtId="0" fontId="0" fillId="0" borderId="36" applyBorder="1" xfId="0">
      <protection hidden="1"/>
    </xf>
    <xf numFmtId="0" fontId="0" fillId="0" borderId="36" applyBorder="1" xfId="0" applyAlignment="1">
      <alignment horizontal="center" vertical="center"/>
      <protection hidden="1"/>
    </xf>
    <xf numFmtId="2" applyNumberFormat="1" fontId="36" applyFont="1" fillId="0" borderId="37" applyBorder="1" xfId="0" applyAlignment="1">
      <alignment horizontal="center" vertical="center"/>
      <protection hidden="1"/>
    </xf>
    <xf numFmtId="2" applyNumberFormat="1" fontId="0" fillId="0" borderId="37" applyBorder="1" xfId="0" applyAlignment="1">
      <alignment horizontal="center"/>
      <protection hidden="1"/>
    </xf>
    <xf numFmtId="0" fontId="0" fillId="0" borderId="37" applyBorder="1" xfId="0" applyAlignment="1">
      <alignment horizontal="center"/>
      <protection hidden="1"/>
    </xf>
    <xf numFmtId="0" fontId="0" fillId="0" borderId="37" applyBorder="1" xfId="0">
      <protection hidden="1"/>
    </xf>
    <xf numFmtId="0" fontId="0" fillId="0" borderId="23" applyBorder="1" xfId="0">
      <protection hidden="1"/>
    </xf>
    <xf numFmtId="0" fontId="0" fillId="0" borderId="35" applyBorder="1" xfId="0">
      <protection hidden="1"/>
    </xf>
    <xf numFmtId="0" fontId="0" fillId="0" borderId="35" applyBorder="1" xfId="0" applyAlignment="1">
      <alignment horizontal="center" vertical="center"/>
      <protection hidden="1"/>
    </xf>
    <xf numFmtId="0" fontId="0" fillId="19" applyFill="1" borderId="0" xfId="0" applyProtection="1"/>
    <xf numFmtId="2" applyNumberFormat="1" fontId="36" applyFont="1" fillId="4" applyFill="1" borderId="37" applyBorder="1" xfId="0" applyAlignment="1">
      <alignment horizontal="center" vertical="center"/>
      <protection hidden="1"/>
    </xf>
    <xf numFmtId="2" applyNumberFormat="1" fontId="0" fillId="4" applyFill="1" borderId="37" applyBorder="1" xfId="0" applyAlignment="1">
      <alignment horizontal="center"/>
      <protection hidden="1"/>
    </xf>
    <xf numFmtId="0" fontId="49" applyFont="1" fillId="0" borderId="0" xfId="0" applyProtection="1" applyAlignment="1">
      <alignment vertical="center"/>
    </xf>
    <xf numFmtId="0" fontId="35" applyFont="1" fillId="0" borderId="0" xfId="0" applyProtection="1" applyAlignment="1">
      <alignment vertical="center"/>
    </xf>
    <xf numFmtId="0" fontId="48" applyFont="1" fillId="0" borderId="0" xfId="0" applyProtection="1" applyAlignment="1">
      <alignment vertical="center"/>
    </xf>
    <xf numFmtId="0" fontId="81" applyFont="1" fillId="0" borderId="0" xfId="0" applyProtection="1" applyAlignment="1">
      <alignment vertical="center"/>
    </xf>
    <xf numFmtId="3" applyNumberFormat="1" fontId="50" applyFont="1" fillId="0" borderId="0" xfId="0" applyProtection="1" applyAlignment="1">
      <alignment vertical="center"/>
    </xf>
    <xf numFmtId="3" applyNumberFormat="1" fontId="50" applyFont="1" fillId="0" borderId="0" xfId="0" applyProtection="1"/>
    <xf numFmtId="0" fontId="83" applyFont="1" fillId="13" applyFill="1" borderId="69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66" applyFont="1" fillId="0" borderId="0" xfId="0" applyProtection="1" applyAlignment="1">
      <alignment horizontal="center" vertical="center"/>
    </xf>
    <xf numFmtId="0" fontId="53" applyFont="1" fillId="0" borderId="1" applyBorder="1" xfId="3" applyProtection="1" applyAlignment="1">
      <alignment horizontal="center"/>
    </xf>
    <xf numFmtId="0" fontId="95" applyFont="1" fillId="0" borderId="0" xfId="0" applyProtection="1" applyAlignment="1">
      <alignment horizontal="center" vertical="center"/>
    </xf>
    <xf numFmtId="3" applyNumberFormat="1" fontId="95" applyFont="1" fillId="0" borderId="0" xfId="0" applyProtection="1" applyAlignment="1">
      <alignment horizontal="center" vertical="center"/>
    </xf>
    <xf numFmtId="168" applyNumberFormat="1" fontId="95" applyFont="1" fillId="0" borderId="0" xfId="0" applyProtection="1" applyAlignment="1">
      <alignment horizontal="center" vertical="center"/>
    </xf>
    <xf numFmtId="2" applyNumberFormat="1" fontId="95" applyFont="1" fillId="0" borderId="0" xfId="0" applyProtection="1" applyAlignment="1">
      <alignment horizontal="center" vertical="center"/>
    </xf>
    <xf numFmtId="2" applyNumberFormat="1" fontId="4" applyFont="1" fillId="0" borderId="1" applyBorder="1" xfId="3" applyProtection="1" applyAlignment="1">
      <alignment horizontal="center"/>
    </xf>
    <xf numFmtId="0" fontId="99" applyFont="1" fillId="0" borderId="42" applyBorder="1" xfId="0" applyProtection="1" applyAlignment="1">
      <alignment horizontal="center" vertical="center"/>
    </xf>
    <xf numFmtId="0" fontId="37" applyFont="1" fillId="4" applyFill="1" borderId="3" applyBorder="1" xfId="3" applyProtection="1" applyAlignment="1">
      <alignment vertical="center"/>
    </xf>
    <xf numFmtId="168" applyNumberFormat="1" fontId="84" applyFont="1" fillId="4" applyFill="1" borderId="4" applyBorder="1" xfId="3" applyProtection="1" applyAlignment="1">
      <alignment horizontal="right"/>
    </xf>
    <xf numFmtId="0" fontId="37" applyFont="1" fillId="17" applyFill="1" borderId="4" applyBorder="1" xfId="3" applyProtection="1" applyAlignment="1">
      <alignment horizontal="center"/>
    </xf>
    <xf numFmtId="3" applyNumberFormat="1" fontId="37" applyFont="1" fillId="3" applyFill="1" borderId="4" applyBorder="1" xfId="3" applyProtection="1" applyAlignment="1">
      <alignment horizontal="center"/>
    </xf>
    <xf numFmtId="0" fontId="5" applyFont="1" fillId="0" borderId="4" applyBorder="1" xfId="3" applyProtection="1"/>
    <xf numFmtId="0" fontId="1" applyFont="1" fillId="0" borderId="4" applyBorder="1" xfId="0" applyProtection="1"/>
    <xf numFmtId="0" fontId="0" fillId="0" borderId="4" applyBorder="1" xfId="0" applyProtection="1" applyAlignment="1">
      <alignment horizontal="center"/>
    </xf>
    <xf numFmtId="0" fontId="39" applyFont="1" fillId="0" borderId="4" applyBorder="1" xfId="0" applyProtection="1" applyAlignment="1">
      <alignment horizontal="center"/>
    </xf>
    <xf numFmtId="0" fontId="39" applyFont="1" fillId="0" borderId="5" applyBorder="1" xfId="0" applyProtection="1" applyAlignment="1">
      <alignment horizontal="center"/>
    </xf>
    <xf numFmtId="0" fontId="95" applyFont="1" fillId="0" borderId="13" applyBorder="1" xfId="0" applyProtection="1" applyAlignment="1">
      <alignment horizontal="center" vertical="center"/>
    </xf>
    <xf numFmtId="0" fontId="39" applyFont="1" fillId="0" borderId="14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3" applyNumberFormat="1" fontId="97" applyFont="1" fillId="0" borderId="0" xfId="0" applyProtection="1" applyAlignment="1">
      <alignment horizontal="center"/>
    </xf>
    <xf numFmtId="2" applyNumberFormat="1" fontId="96" applyFont="1" fillId="10" applyFill="1" borderId="0" xfId="0" applyProtection="1" applyAlignment="1">
      <alignment horizontal="center"/>
    </xf>
    <xf numFmtId="0" fontId="36" applyFont="1" fillId="0" borderId="14" applyBorder="1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9" applyNumberFormat="1" fontId="98" applyFont="1" fillId="0" borderId="0" xfId="0" applyProtection="1" applyAlignment="1">
      <alignment horizontal="center"/>
    </xf>
    <xf numFmtId="4" applyNumberFormat="1" fontId="97" applyFont="1" fillId="0" borderId="0" xfId="0" applyProtection="1" applyAlignment="1">
      <alignment horizontal="center"/>
    </xf>
    <xf numFmtId="9" applyNumberFormat="1" fontId="96" applyFont="1" fillId="0" borderId="0" xfId="4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1" applyNumberFormat="1" fontId="34" applyFont="1" fillId="10" applyFill="1" borderId="0" xfId="0" applyProtection="1" applyAlignment="1">
      <alignment horizontal="center"/>
    </xf>
    <xf numFmtId="168" applyNumberFormat="1" fontId="36" applyFont="1" fillId="0" borderId="14" applyBorder="1" xfId="0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34" applyFont="1" fillId="0" borderId="7" applyBorder="1" xfId="0" applyProtection="1" applyAlignment="1">
      <alignment horizontal="center"/>
    </xf>
    <xf numFmtId="0" fontId="34" applyFont="1" fillId="0" borderId="7" applyBorder="1" xfId="0" applyProtection="1" applyAlignment="1">
      <alignment horizontal="center"/>
      <protection locked="0"/>
    </xf>
    <xf numFmtId="0" fontId="34" applyFont="1" fillId="0" borderId="7" applyBorder="1" xfId="0" applyProtection="1" applyAlignment="1">
      <alignment horizontal="center" vertical="center" shrinkToFit="1"/>
    </xf>
    <xf numFmtId="0" fontId="34" applyFont="1" fillId="0" borderId="7" applyBorder="1" xfId="0" applyProtection="1" applyAlignment="1">
      <alignment horizontal="center" shrinkToFit="1"/>
    </xf>
    <xf numFmtId="9" applyNumberFormat="1" fontId="34" applyFont="1" fillId="0" borderId="7" applyBorder="1" xfId="4" applyProtection="1" applyAlignment="1">
      <alignment horizontal="center" shrinkToFit="1"/>
    </xf>
    <xf numFmtId="1" applyNumberFormat="1" fontId="34" applyFont="1" fillId="0" borderId="7" applyBorder="1" xfId="0" applyProtection="1" applyAlignment="1">
      <alignment horizontal="center" shrinkToFit="1"/>
    </xf>
    <xf numFmtId="3" applyNumberFormat="1" fontId="34" applyFont="1" fillId="0" borderId="7" applyBorder="1" xfId="0" applyProtection="1" applyAlignment="1">
      <alignment horizontal="center"/>
    </xf>
    <xf numFmtId="2" applyNumberFormat="1" fontId="34" applyFont="1" fillId="0" borderId="7" applyBorder="1" xfId="0" applyProtection="1" applyAlignment="1">
      <alignment horizontal="center"/>
    </xf>
    <xf numFmtId="167" applyNumberFormat="1" fontId="36" applyFont="1" fillId="0" borderId="7" applyBorder="1" xfId="0" applyProtection="1" applyAlignment="1">
      <alignment horizontal="center"/>
    </xf>
    <xf numFmtId="0" fontId="36" applyFont="1" fillId="0" borderId="7" applyBorder="1" xfId="0" applyProtection="1" applyAlignment="1">
      <alignment horizontal="center"/>
    </xf>
    <xf numFmtId="0" fontId="36" applyFont="1" fillId="0" borderId="8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40" applyFont="1" fillId="0" borderId="0" xfId="0" applyProtection="1" applyAlignment="1">
      <alignment horizontal="center"/>
    </xf>
    <xf numFmtId="0" fontId="40" applyFont="1" fillId="0" borderId="0" xfId="0" applyProtection="1"/>
    <xf numFmtId="4" applyNumberFormat="1" fontId="3" applyFont="1" fillId="0" borderId="0" xfId="0" applyProtection="1" applyAlignment="1">
      <alignment horizontal="center"/>
    </xf>
    <xf numFmtId="0" fontId="86" applyFont="1" fillId="3" applyFill="1" borderId="0" xfId="0" applyProtection="1" applyAlignment="1">
      <alignment vertical="center"/>
      <protection locked="0"/>
    </xf>
    <xf numFmtId="14" applyNumberFormat="1" fontId="1" applyFont="1" fillId="3" applyFill="1" borderId="0" xfId="0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/>
    </xf>
    <xf numFmtId="4" applyNumberFormat="1" fontId="43" applyFont="1" fillId="0" borderId="0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3" applyFont="1" fillId="0" borderId="4" applyBorder="1" xfId="0" applyProtection="1" applyAlignment="1">
      <alignment horizontal="center" vertical="center"/>
    </xf>
    <xf numFmtId="14" applyNumberFormat="1" fontId="1" applyFont="1" fillId="0" borderId="4" applyBorder="1" xfId="0" applyProtection="1" applyAlignment="1">
      <alignment horizontal="center"/>
    </xf>
    <xf numFmtId="0" fontId="36" applyFont="1" fillId="0" borderId="4" applyBorder="1" xfId="0" applyProtection="1" applyAlignment="1">
      <alignment horizontal="center"/>
    </xf>
    <xf numFmtId="0" fontId="36" applyFont="1" fillId="0" borderId="5" applyBorder="1" xfId="0" applyProtection="1" applyAlignment="1">
      <alignment horizontal="center"/>
    </xf>
    <xf numFmtId="0" fontId="37" applyFont="1" fillId="4" applyFill="1" borderId="13" applyBorder="1" xfId="3" applyProtection="1" applyAlignment="1">
      <alignment vertical="center"/>
    </xf>
    <xf numFmtId="0" fontId="53" applyFont="1" fillId="0" borderId="17" applyBorder="1" xfId="3" applyProtection="1" applyAlignment="1">
      <alignment horizontal="center"/>
    </xf>
    <xf numFmtId="0" fontId="4" applyFont="1" fillId="0" borderId="18" applyBorder="1" xfId="3" applyProtection="1" applyAlignment="1">
      <alignment horizontal="center"/>
    </xf>
    <xf numFmtId="0" fontId="4" applyFont="1" fillId="0" borderId="19" applyBorder="1" xfId="3" applyProtection="1" applyAlignment="1">
      <alignment horizontal="center"/>
    </xf>
    <xf numFmtId="0" fontId="53" applyFont="1" fillId="0" borderId="16" applyBorder="1" xfId="3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53" applyFont="1" fillId="0" borderId="26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41" applyBorder="1" xfId="3" applyProtection="1" applyAlignment="1">
      <alignment horizontal="center"/>
    </xf>
    <xf numFmtId="170" applyNumberFormat="1" fontId="4" applyFont="1" fillId="0" borderId="1" applyBorder="1" xfId="3" applyProtection="1" applyAlignment="1">
      <alignment horizontal="center"/>
    </xf>
    <xf numFmtId="0" fontId="36" applyFont="1" fillId="0" borderId="1" applyBorder="1" xfId="3" applyProtection="1" applyAlignment="1">
      <alignment horizontal="center"/>
    </xf>
    <xf numFmtId="0" fontId="34" applyFont="1" fillId="0" borderId="4" applyBorder="1" xfId="0" applyProtection="1" applyAlignment="1">
      <alignment horizontal="center" vertical="center"/>
    </xf>
    <xf numFmtId="14" applyNumberFormat="1" fontId="34" applyFont="1" fillId="0" borderId="4" applyBorder="1" xfId="0" applyProtection="1" applyAlignment="1">
      <alignment horizontal="center"/>
    </xf>
    <xf numFmtId="0" fontId="34" applyFont="1" fillId="0" borderId="4" applyBorder="1" xfId="0" applyProtection="1"/>
    <xf numFmtId="0" fontId="44" applyFont="1" fillId="0" borderId="0" xfId="0" applyProtection="1" applyAlignment="1">
      <alignment horizontal="center" vertical="center"/>
      <protection locked="0"/>
    </xf>
    <xf numFmtId="2" applyNumberFormat="1" fontId="44" applyFont="1" fillId="0" borderId="0" xfId="0" applyProtection="1" applyAlignment="1">
      <alignment horizontal="center"/>
    </xf>
    <xf numFmtId="0" fontId="44" applyFont="1" fillId="0" borderId="0" xfId="0" applyProtection="1"/>
    <xf numFmtId="0" fontId="86" applyFont="1" fillId="3" applyFill="1" borderId="0" xfId="0" applyProtection="1" applyAlignment="1">
      <alignment horizontal="center" vertical="center"/>
      <protection locked="0"/>
    </xf>
    <xf numFmtId="2" applyNumberFormat="1" fontId="4" applyFont="1" fillId="0" borderId="1" applyBorder="1" xfId="3" applyProtection="1" applyAlignment="1">
      <alignment horizontal="center" vertical="center"/>
    </xf>
    <xf numFmtId="0" fontId="47" applyFont="1" fillId="13" applyFill="1" borderId="0" xfId="0" applyProtection="1"/>
    <xf numFmtId="0" fontId="102" applyFont="1" fillId="0" borderId="13" applyBorder="1" xfId="0" applyProtection="1" applyAlignment="1">
      <alignment horizontal="center" vertical="center"/>
    </xf>
    <xf numFmtId="2" applyNumberFormat="1" fontId="102" applyFont="1" fillId="0" borderId="0" xfId="0" applyProtection="1" applyAlignment="1">
      <alignment horizontal="center" vertical="center"/>
    </xf>
    <xf numFmtId="0" fontId="102" applyFont="1" fillId="0" borderId="0" xfId="0" applyProtection="1" applyAlignment="1">
      <alignment horizontal="center" vertical="center"/>
    </xf>
    <xf numFmtId="171" applyNumberFormat="1" fontId="36" applyFont="1" fillId="0" borderId="0" xfId="4" applyProtection="1" applyAlignment="1">
      <alignment horizontal="center"/>
    </xf>
    <xf numFmtId="0" fontId="4" applyFont="1" fillId="0" borderId="70" applyBorder="1" xfId="3" applyProtection="1" applyAlignment="1">
      <alignment horizontal="center"/>
    </xf>
    <xf numFmtId="0" fontId="103" applyFont="1" fillId="0" borderId="0" xfId="0" applyProtection="1" applyAlignment="1">
      <alignment horizontal="center"/>
    </xf>
    <xf numFmtId="0" fontId="103" applyFont="1" fillId="0" borderId="0" xfId="0" applyProtection="1" applyAlignment="1">
      <alignment horizontal="center"/>
      <protection locked="0"/>
    </xf>
    <xf numFmtId="0" fontId="103" applyFont="1" fillId="0" borderId="0" xfId="0" applyProtection="1" applyAlignment="1">
      <alignment horizontal="center" vertical="center" shrinkToFit="1"/>
    </xf>
    <xf numFmtId="0" fontId="103" applyFont="1" fillId="0" borderId="0" xfId="0" applyProtection="1" applyAlignment="1">
      <alignment horizontal="center" shrinkToFit="1"/>
    </xf>
    <xf numFmtId="0" fontId="104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2" applyNumberFormat="1" fontId="103" applyFont="1" fillId="10" applyFill="1" borderId="0" xfId="0" applyProtection="1" applyAlignment="1">
      <alignment horizontal="center"/>
    </xf>
    <xf numFmtId="9" applyNumberFormat="1" fontId="104" applyFont="1" fillId="0" borderId="0" xfId="0" applyProtection="1" applyAlignment="1">
      <alignment horizontal="center"/>
    </xf>
    <xf numFmtId="1" applyNumberFormat="1" fontId="34" applyFont="1" fillId="0" borderId="0" xfId="0" applyProtection="1" applyAlignment="1">
      <alignment horizontal="center"/>
    </xf>
    <xf numFmtId="0" fontId="52" applyFont="1" fillId="0" borderId="4" applyBorder="1" xfId="0" applyProtection="1" applyAlignment="1">
      <alignment horizontal="center" vertical="center"/>
    </xf>
    <xf numFmtId="0" fontId="52" applyFont="1" fillId="0" borderId="0" xfId="0" applyProtection="1" applyAlignment="1">
      <alignment horizontal="center" vertical="center"/>
    </xf>
    <xf numFmtId="0" fontId="52" applyFont="1" fillId="0" borderId="0" xfId="0" applyProtection="1" applyAlignment="1">
      <alignment horizontal="center"/>
    </xf>
    <xf numFmtId="0" fontId="79" applyFont="1" fillId="0" borderId="0" xfId="0" applyProtection="1" applyAlignment="1">
      <alignment horizontal="center" vertical="center"/>
    </xf>
    <xf numFmtId="0" fontId="60" applyFont="1" fillId="13" applyFill="1" borderId="0" xfId="0" applyProtection="1" applyAlignment="1">
      <alignment horizontal="center" vertical="center"/>
    </xf>
    <xf numFmtId="0" fontId="47" applyFont="1" fillId="13" applyFill="1" borderId="0" xfId="0" applyProtection="1" applyAlignment="1">
      <alignment horizontal="center"/>
    </xf>
    <xf numFmtId="0" fontId="79" applyFont="1" fillId="13" applyFill="1" borderId="0" xfId="0" applyProtection="1" applyAlignment="1">
      <alignment horizontal="center" vertical="center"/>
    </xf>
    <xf numFmtId="0" fontId="62" applyFont="1" fillId="0" borderId="36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5" applyFont="1" fillId="0" borderId="0" xfId="0" applyProtection="1" applyAlignment="1">
      <alignment horizontal="center" vertical="center"/>
    </xf>
    <xf numFmtId="0" fontId="51" applyFont="1" fillId="0" borderId="0" xfId="0" applyProtection="1" applyAlignment="1">
      <alignment horizontal="center"/>
    </xf>
    <xf numFmtId="0" fontId="78" applyFont="1" fillId="13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61" applyFont="1" fillId="0" borderId="4" applyBorder="1" xfId="0" applyProtection="1" applyAlignment="1">
      <alignment horizontal="center" vertical="center"/>
    </xf>
    <xf numFmtId="0" fontId="61" applyFont="1" fillId="0" borderId="35" applyBorder="1" xfId="0" applyProtection="1" applyAlignment="1">
      <alignment horizontal="center" vertical="center"/>
    </xf>
    <xf numFmtId="3" applyNumberFormat="1" fontId="50" applyFont="1" fillId="13" applyFill="1" borderId="0" xfId="0" applyProtection="1" applyAlignment="1">
      <alignment horizontal="center" vertical="center"/>
    </xf>
    <xf numFmtId="0" fontId="81" applyFont="1" fillId="13" applyFill="1" borderId="0" xfId="0" applyProtection="1" applyAlignment="1">
      <alignment horizontal="center" vertical="center"/>
    </xf>
    <xf numFmtId="0" fontId="0" fillId="14" applyFill="1" borderId="13" applyBorder="1" xfId="0" applyProtection="1" applyAlignment="1">
      <alignment horizontal="center"/>
    </xf>
    <xf numFmtId="0" fontId="0" fillId="14" applyFill="1" borderId="0" xfId="0" applyProtection="1" applyAlignment="1">
      <alignment horizontal="center"/>
    </xf>
    <xf numFmtId="43" applyNumberFormat="1" fontId="57" applyFont="1" fillId="0" borderId="46" applyBorder="1" xfId="1" applyProtection="1" applyAlignment="1">
      <alignment horizontal="center" vertical="center"/>
    </xf>
    <xf numFmtId="43" applyNumberFormat="1" fontId="57" applyFont="1" fillId="0" borderId="47" applyBorder="1" xfId="1" applyProtection="1" applyAlignment="1">
      <alignment horizontal="center" vertical="center"/>
    </xf>
    <xf numFmtId="0" fontId="59" applyFont="1" fillId="0" borderId="46" applyBorder="1" xfId="0" applyProtection="1" applyAlignment="1">
      <alignment horizontal="center" vertical="center"/>
    </xf>
    <xf numFmtId="0" fontId="59" applyFont="1" fillId="0" borderId="47" applyBorder="1" xfId="0" applyProtection="1" applyAlignment="1">
      <alignment horizontal="center" vertical="center"/>
    </xf>
    <xf numFmtId="3" applyNumberFormat="1" fontId="77" applyFont="1" fillId="13" applyFill="1" borderId="0" xfId="0" applyProtection="1" applyAlignment="1">
      <alignment horizontal="right"/>
    </xf>
    <xf numFmtId="0" fontId="50" applyFont="1" fillId="13" applyFill="1" borderId="0" xfId="0" applyProtection="1" applyAlignment="1">
      <alignment horizontal="center"/>
    </xf>
    <xf numFmtId="0" fontId="63" applyFont="1" fillId="13" applyFill="1" borderId="0" xfId="0" applyProtection="1" applyAlignment="1">
      <alignment horizontal="center"/>
    </xf>
    <xf numFmtId="0" fontId="63" applyFont="1" fillId="13" applyFill="1" borderId="57" applyBorder="1" xfId="0" applyProtection="1" applyAlignment="1">
      <alignment horizontal="center"/>
    </xf>
    <xf numFmtId="0" fontId="60" applyFont="1" fillId="13" applyFill="1" borderId="0" xfId="0" applyProtection="1" applyAlignment="1">
      <alignment horizontal="center" vertical="top"/>
    </xf>
    <xf numFmtId="0" fontId="0" fillId="13" applyFill="1" borderId="0" xfId="0" applyProtection="1" applyAlignment="1">
      <alignment horizontal="center"/>
    </xf>
    <xf numFmtId="0" fontId="64" applyFont="1" fillId="0" borderId="0" xfId="0" applyProtection="1" applyAlignment="1">
      <alignment horizontal="center" vertical="center"/>
    </xf>
    <xf numFmtId="0" fontId="87" applyFont="1" fillId="0" borderId="0" xfId="2" applyProtection="1" applyAlignment="1">
      <alignment horizontal="center" vertical="center"/>
    </xf>
    <xf numFmtId="0" fontId="94" applyFont="1" fillId="0" borderId="0" xfId="2" applyProtection="1" applyAlignment="1">
      <alignment horizontal="center" vertical="center"/>
    </xf>
    <xf numFmtId="3" applyNumberFormat="1" fontId="76" applyFont="1" fillId="13" applyFill="1" borderId="0" xfId="0" applyProtection="1" applyAlignment="1">
      <alignment horizontal="right"/>
    </xf>
    <xf numFmtId="0" fontId="50" applyFont="1" fillId="13" applyFill="1" borderId="0" xfId="0" applyProtection="1" applyAlignment="1">
      <alignment horizontal="left"/>
    </xf>
    <xf numFmtId="0" fontId="0" fillId="18" applyFill="1" borderId="0" xfId="0" applyProtection="1" applyAlignment="1">
      <alignment horizontal="center"/>
    </xf>
    <xf numFmtId="0" fontId="72" applyFont="1" fillId="13" applyFill="1" borderId="67" applyBorder="1" xfId="0" applyProtection="1" applyAlignment="1">
      <alignment horizontal="center" vertical="center"/>
    </xf>
    <xf numFmtId="0" fontId="72" applyFont="1" fillId="13" applyFill="1" borderId="59" applyBorder="1" xfId="0" applyProtection="1" applyAlignment="1">
      <alignment horizontal="center" vertical="center"/>
    </xf>
    <xf numFmtId="167" applyNumberFormat="1" fontId="91" applyFont="1" fillId="2" applyFill="1" borderId="0" xfId="0" applyProtection="1" applyAlignment="1">
      <alignment horizontal="center"/>
    </xf>
    <xf numFmtId="43" applyNumberFormat="1" fontId="92" applyFont="1" fillId="2" applyFill="1" borderId="6" applyBorder="1" xfId="1" applyProtection="1" applyAlignment="1">
      <alignment horizontal="center"/>
    </xf>
    <xf numFmtId="43" applyNumberFormat="1" fontId="92" applyFont="1" fillId="2" applyFill="1" borderId="8" applyBorder="1" xfId="1" applyProtection="1" applyAlignment="1">
      <alignment horizontal="center"/>
    </xf>
    <xf numFmtId="0" fontId="61" applyFont="1" fillId="0" borderId="4" applyBorder="1" xfId="0" applyProtection="1" applyAlignment="1">
      <alignment horizontal="center" vertical="center" wrapText="1"/>
    </xf>
    <xf numFmtId="0" fontId="61" applyFont="1" fillId="0" borderId="35" applyBorder="1" xfId="0" applyProtection="1" applyAlignment="1">
      <alignment horizontal="center" vertical="center" wrapText="1"/>
    </xf>
    <xf numFmtId="0" fontId="68" applyFont="1" fillId="13" applyFill="1" borderId="57" applyBorder="1" xfId="0" applyProtection="1" applyAlignment="1">
      <alignment horizontal="center" vertical="center"/>
    </xf>
    <xf numFmtId="43" applyNumberFormat="1" fontId="100" applyFont="1" fillId="2" applyFill="1" borderId="3" applyBorder="1" xfId="1" applyProtection="1" applyAlignment="1">
      <alignment horizontal="center"/>
    </xf>
    <xf numFmtId="43" applyNumberFormat="1" fontId="100" applyFont="1" fillId="2" applyFill="1" borderId="5" applyBorder="1" xfId="1" applyProtection="1" applyAlignment="1">
      <alignment horizontal="center"/>
    </xf>
    <xf numFmtId="43" applyNumberFormat="1" fontId="92" applyFont="1" fillId="2" applyFill="1" borderId="11" applyBorder="1" xfId="1" applyProtection="1" applyAlignment="1">
      <alignment horizontal="center"/>
    </xf>
    <xf numFmtId="43" applyNumberFormat="1" fontId="92" applyFont="1" fillId="2" applyFill="1" borderId="12" applyBorder="1" xfId="1" applyProtection="1" applyAlignment="1">
      <alignment horizontal="center"/>
    </xf>
    <xf numFmtId="0" fontId="101" applyFont="1" fillId="13" applyFill="1" borderId="0" xfId="0" applyProtection="1" applyAlignment="1">
      <alignment horizontal="center"/>
    </xf>
    <xf numFmtId="0" fontId="93" applyFont="1" fillId="2" applyFill="1" borderId="0" xfId="0" applyProtection="1" applyAlignment="1">
      <alignment horizontal="center" vertical="center"/>
    </xf>
    <xf numFmtId="43" applyNumberFormat="1" fontId="57" applyFont="1" fillId="0" borderId="64" applyBorder="1" xfId="1" applyProtection="1" applyAlignment="1">
      <alignment horizontal="center" vertical="center"/>
    </xf>
    <xf numFmtId="43" applyNumberFormat="1" fontId="57" applyFont="1" fillId="0" borderId="0" xfId="1" applyProtection="1" applyAlignment="1">
      <alignment horizontal="center" vertical="center"/>
    </xf>
    <xf numFmtId="0" fontId="59" applyFont="1" fillId="0" borderId="64" applyBorder="1" xfId="0" applyProtection="1" applyAlignment="1">
      <alignment horizontal="center" vertical="center"/>
    </xf>
    <xf numFmtId="0" fontId="59" applyFont="1" fillId="0" borderId="65" applyBorder="1" xfId="0" applyProtection="1" applyAlignment="1">
      <alignment horizontal="center" vertical="center"/>
    </xf>
    <xf numFmtId="0" fontId="44" applyFont="1" fillId="11" applyFill="1" borderId="3" applyBorder="1" xfId="0" applyProtection="1" applyAlignment="1">
      <alignment horizontal="center" vertical="center"/>
    </xf>
    <xf numFmtId="0" fontId="44" applyFont="1" fillId="11" applyFill="1" borderId="4" applyBorder="1" xfId="0" applyProtection="1" applyAlignment="1">
      <alignment horizontal="center" vertical="center"/>
    </xf>
    <xf numFmtId="0" fontId="44" applyFont="1" fillId="11" applyFill="1" borderId="5" applyBorder="1" xfId="0" applyProtection="1" applyAlignment="1">
      <alignment horizontal="center" vertical="center"/>
    </xf>
    <xf numFmtId="0" fontId="44" applyFont="1" fillId="11" applyFill="1" borderId="6" applyBorder="1" xfId="0" applyProtection="1" applyAlignment="1">
      <alignment horizontal="center" vertical="center"/>
    </xf>
    <xf numFmtId="0" fontId="44" applyFont="1" fillId="11" applyFill="1" borderId="7" applyBorder="1" xfId="0" applyProtection="1" applyAlignment="1">
      <alignment horizontal="center" vertical="center"/>
    </xf>
    <xf numFmtId="0" fontId="44" applyFont="1" fillId="11" applyFill="1" borderId="8" applyBorder="1" xfId="0" applyProtection="1" applyAlignment="1">
      <alignment horizontal="center" vertical="center"/>
    </xf>
    <xf numFmtId="0" fontId="3" applyFont="1" fillId="3" applyFill="1" borderId="11" applyBorder="1" xfId="0" applyProtection="1" applyAlignment="1">
      <alignment horizontal="center" vertical="center"/>
    </xf>
    <xf numFmtId="0" fontId="3" applyFont="1" fillId="3" applyFill="1" borderId="12" applyBorder="1" xfId="0" applyProtection="1" applyAlignment="1">
      <alignment horizontal="center" vertical="center"/>
    </xf>
    <xf numFmtId="0" fontId="41" applyFont="1" fillId="12" applyFill="1" borderId="0" xfId="0" applyProtection="1" applyAlignment="1">
      <alignment horizontal="center"/>
      <protection locked="0"/>
    </xf>
    <xf numFmtId="0" fontId="41" applyFont="1" fillId="0" borderId="0" xfId="0" applyProtection="1" applyAlignment="1">
      <alignment horizontal="center"/>
      <protection locked="0"/>
    </xf>
    <xf numFmtId="164" applyNumberFormat="1" fontId="1" applyFont="1" fillId="3" applyFill="1" borderId="13" applyBorder="1" xfId="0" applyProtection="1" applyAlignment="1">
      <alignment horizontal="center" vertical="center"/>
    </xf>
    <xf numFmtId="164" applyNumberFormat="1" fontId="1" applyFont="1" fillId="3" applyFill="1" borderId="0" xfId="0" applyProtection="1" applyAlignment="1">
      <alignment horizontal="center" vertical="center"/>
    </xf>
    <xf numFmtId="0" fontId="4" applyFont="1" fillId="0" borderId="20" applyBorder="1" xfId="3" applyProtection="1" applyAlignment="1">
      <alignment horizontal="left"/>
    </xf>
    <xf numFmtId="0" fontId="4" applyFont="1" fillId="0" borderId="34" applyBorder="1" xfId="3" applyProtection="1" applyAlignment="1">
      <alignment horizontal="left"/>
    </xf>
    <xf numFmtId="0" fontId="5" applyFont="1" fillId="0" borderId="0" xfId="3" applyProtection="1" applyAlignment="1">
      <alignment horizontal="left"/>
    </xf>
    <xf numFmtId="0" fontId="6" applyFont="1" fillId="3" applyFill="1" borderId="20" applyBorder="1" xfId="3" applyProtection="1" applyAlignment="1">
      <alignment horizontal="center"/>
      <protection locked="0"/>
    </xf>
    <xf numFmtId="0" fontId="6" applyFont="1" fillId="3" applyFill="1" borderId="34" applyBorder="1" xfId="3" applyProtection="1" applyAlignment="1">
      <alignment horizontal="center"/>
      <protection locked="0"/>
    </xf>
    <xf numFmtId="0" fontId="6" applyFont="1" fillId="3" applyFill="1" borderId="21" applyBorder="1" xfId="3" applyProtection="1" applyAlignment="1">
      <alignment horizontal="center"/>
      <protection locked="0"/>
    </xf>
    <xf numFmtId="0" fontId="4" applyFont="1" fillId="0" borderId="35" applyBorder="1" xfId="3" applyProtection="1" applyAlignment="1">
      <alignment horizontal="center"/>
    </xf>
    <xf numFmtId="0" fontId="4" applyFont="1" fillId="0" borderId="32" applyBorder="1" xfId="3" applyProtection="1" applyAlignment="1">
      <alignment horizontal="center"/>
      <protection locked="0"/>
    </xf>
    <xf numFmtId="0" fontId="4" applyFont="1" fillId="0" borderId="36" applyBorder="1" xfId="3" applyProtection="1" applyAlignment="1">
      <alignment horizontal="center"/>
      <protection locked="0"/>
    </xf>
    <xf numFmtId="0" fontId="4" applyFont="1" fillId="0" borderId="33" applyBorder="1" xfId="3" applyProtection="1" applyAlignment="1">
      <alignment horizontal="center"/>
      <protection locked="0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34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34" applyBorder="1" xfId="3" applyProtection="1" applyAlignment="1">
      <alignment horizontal="center"/>
    </xf>
    <xf numFmtId="0" fontId="4" applyFont="1" fillId="0" borderId="0" xfId="3" applyProtection="1" applyAlignment="1">
      <alignment horizontal="left"/>
    </xf>
    <xf numFmtId="0" fontId="4" applyFont="1" fillId="3" applyFill="1" borderId="20" applyBorder="1" xfId="3" applyProtection="1" applyAlignment="1">
      <alignment horizontal="left"/>
    </xf>
    <xf numFmtId="0" fontId="4" applyFont="1" fillId="3" applyFill="1" borderId="34" applyBorder="1" xfId="3" applyProtection="1" applyAlignment="1">
      <alignment horizontal="left"/>
    </xf>
    <xf numFmtId="0" fontId="4" applyFont="1" fillId="3" applyFill="1" borderId="34" applyBorder="1" xfId="3" applyProtection="1" applyAlignment="1">
      <alignment horizontal="center"/>
      <protection locked="0"/>
    </xf>
    <xf numFmtId="0" fontId="4" applyFont="1" fillId="3" applyFill="1" borderId="21" applyBorder="1" xfId="3" applyProtection="1" applyAlignment="1">
      <alignment horizontal="center"/>
      <protection locked="0"/>
    </xf>
    <xf numFmtId="0" fontId="6" applyFont="1" fillId="0" borderId="0" xfId="3" applyProtection="1" applyAlignment="1">
      <alignment horizontal="left" wrapText="1"/>
    </xf>
    <xf numFmtId="0" fontId="7" applyFont="1" fillId="0" borderId="11" applyBorder="1" xfId="3" applyProtection="1" applyAlignment="1">
      <alignment horizontal="center"/>
    </xf>
    <xf numFmtId="0" fontId="7" applyFont="1" fillId="0" borderId="15" applyBorder="1" xfId="3" applyProtection="1" applyAlignment="1">
      <alignment horizontal="center"/>
    </xf>
    <xf numFmtId="0" fontId="7" applyFont="1" fillId="0" borderId="12" applyBorder="1" xfId="3" applyProtection="1" applyAlignment="1">
      <alignment horizontal="center"/>
    </xf>
    <xf numFmtId="49" applyNumberFormat="1" fontId="8" applyFont="1" fillId="0" borderId="1" applyBorder="1" xfId="3" applyProtection="1" applyAlignment="1">
      <alignment horizontal="center" vertical="center" shrinkToFit="1"/>
    </xf>
    <xf numFmtId="49" applyNumberFormat="1" fontId="8" applyFont="1" fillId="0" borderId="24" applyBorder="1" xfId="3" applyProtection="1" applyAlignment="1">
      <alignment horizontal="center" vertical="center" shrinkToFit="1"/>
    </xf>
    <xf numFmtId="2" applyNumberFormat="1" fontId="9" applyFont="1" fillId="0" borderId="1" applyBorder="1" xfId="3" applyProtection="1" applyAlignment="1">
      <alignment horizontal="center" vertical="center" shrinkToFit="1"/>
    </xf>
    <xf numFmtId="2" applyNumberFormat="1" fontId="9" applyFont="1" fillId="0" borderId="24" applyBorder="1" xfId="3" applyProtection="1" applyAlignment="1">
      <alignment horizontal="center" vertical="center" shrinkToFit="1"/>
    </xf>
    <xf numFmtId="0" fontId="4" applyFont="1" fillId="0" borderId="1" applyBorder="1" xfId="3" applyProtection="1" applyAlignment="1">
      <alignment horizontal="center" vertical="center" wrapText="1"/>
    </xf>
    <xf numFmtId="166" applyNumberFormat="1" fontId="4" applyFont="1" fillId="0" borderId="24" applyBorder="1" xfId="3" applyProtection="1" applyAlignment="1">
      <alignment horizontal="center" vertical="center" wrapText="1"/>
    </xf>
    <xf numFmtId="4" applyNumberFormat="1" fontId="9" applyFont="1" fillId="0" borderId="11" applyBorder="1" xfId="3" applyProtection="1" applyAlignment="1">
      <alignment horizontal="center" vertical="center" shrinkToFit="1"/>
    </xf>
    <xf numFmtId="4" applyNumberFormat="1" fontId="9" applyFont="1" fillId="0" borderId="15" applyBorder="1" xfId="3" applyProtection="1" applyAlignment="1">
      <alignment horizontal="center" vertical="center" shrinkToFit="1"/>
    </xf>
    <xf numFmtId="4" applyNumberFormat="1" fontId="9" applyFont="1" fillId="0" borderId="12" applyBorder="1" xfId="3" applyProtection="1" applyAlignment="1">
      <alignment horizontal="center" vertical="center" shrinkToFit="1"/>
    </xf>
    <xf numFmtId="2" applyNumberFormat="1" fontId="9" applyFont="1" fillId="0" borderId="11" applyBorder="1" xfId="3" applyProtection="1" applyAlignment="1">
      <alignment horizontal="center" vertical="center" shrinkToFit="1"/>
    </xf>
    <xf numFmtId="2" applyNumberFormat="1" fontId="9" applyFont="1" fillId="0" borderId="15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/>
    </xf>
    <xf numFmtId="0" fontId="14" applyFont="1" fillId="3" applyFill="1" borderId="23" applyBorder="1" xfId="3" applyProtection="1" applyAlignment="1">
      <alignment horizontal="left" vertical="center" shrinkToFit="1"/>
    </xf>
    <xf numFmtId="0" fontId="4" applyFont="1" fillId="3" applyFill="1" borderId="35" applyBorder="1" xfId="3" applyProtection="1"/>
    <xf numFmtId="0" fontId="4" applyFont="1" fillId="3" applyFill="1" borderId="2" applyBorder="1" xfId="3" applyProtection="1"/>
    <xf numFmtId="0" fontId="10" applyFont="1" fillId="3" applyFill="1" borderId="9" applyBorder="1" xfId="3" applyProtection="1" applyAlignment="1">
      <alignment horizontal="center" vertical="center" shrinkToFit="1"/>
    </xf>
    <xf numFmtId="167" applyNumberFormat="1" fontId="18" applyFont="1" fillId="3" applyFill="1" borderId="9" applyBorder="1" xfId="3" applyProtection="1" applyAlignment="1">
      <alignment horizontal="center" vertical="center" shrinkToFit="1"/>
    </xf>
    <xf numFmtId="0" fontId="10" applyFont="1" fillId="0" borderId="37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38" applyBorder="1" xfId="3" applyProtection="1" applyAlignment="1">
      <alignment horizontal="center" vertical="center"/>
    </xf>
    <xf numFmtId="0" fontId="10" applyFont="1" fillId="0" borderId="23" applyBorder="1" xfId="3" applyProtection="1" applyAlignment="1">
      <alignment horizontal="center" vertical="center"/>
    </xf>
    <xf numFmtId="0" fontId="10" applyFont="1" fillId="0" borderId="35" applyBorder="1" xfId="3" applyProtection="1" applyAlignment="1">
      <alignment horizontal="center" vertical="center"/>
    </xf>
    <xf numFmtId="0" fontId="10" applyFont="1" fillId="0" borderId="2" applyBorder="1" xfId="3" applyProtection="1" applyAlignment="1">
      <alignment horizontal="center" vertical="center"/>
    </xf>
    <xf numFmtId="0" fontId="11" applyFont="1" fillId="0" borderId="39" applyBorder="1" xfId="3" applyProtection="1" applyAlignment="1">
      <alignment horizontal="center" vertical="center" wrapText="1"/>
    </xf>
    <xf numFmtId="0" fontId="11" applyFont="1" fillId="0" borderId="9" applyBorder="1" xfId="3" applyProtection="1" applyAlignment="1">
      <alignment horizontal="center" vertical="center" wrapText="1"/>
    </xf>
    <xf numFmtId="0" fontId="12" applyFont="1" fillId="0" borderId="23" applyBorder="1" xfId="3" applyProtection="1" applyAlignment="1">
      <alignment horizontal="center"/>
    </xf>
    <xf numFmtId="0" fontId="12" applyFont="1" fillId="0" borderId="35" applyBorder="1" xfId="3" applyProtection="1" applyAlignment="1">
      <alignment horizontal="center"/>
    </xf>
    <xf numFmtId="0" fontId="12" applyFont="1" fillId="0" borderId="34" applyBorder="1" xfId="3" applyProtection="1" applyAlignment="1">
      <alignment horizontal="center"/>
    </xf>
    <xf numFmtId="0" fontId="12" applyFont="1" fillId="0" borderId="2" applyBorder="1" xfId="3" applyProtection="1" applyAlignment="1">
      <alignment horizontal="center"/>
    </xf>
    <xf numFmtId="1" applyNumberFormat="1" fontId="10" applyFont="1" fillId="0" borderId="35" applyBorder="1" xfId="3" applyProtection="1" applyAlignment="1">
      <alignment horizontal="right"/>
    </xf>
    <xf numFmtId="0" fontId="12" applyFont="1" fillId="0" borderId="20" applyBorder="1" xfId="3" applyProtection="1" applyAlignment="1">
      <alignment horizontal="center"/>
    </xf>
    <xf numFmtId="0" fontId="12" applyFont="1" fillId="0" borderId="21" applyBorder="1" xfId="3" applyProtection="1" applyAlignment="1">
      <alignment horizontal="center"/>
    </xf>
    <xf numFmtId="1" applyNumberFormat="1" fontId="10" applyFont="1" fillId="0" borderId="34" applyBorder="1" xfId="3" applyProtection="1" applyAlignment="1">
      <alignment horizontal="right"/>
    </xf>
    <xf numFmtId="0" fontId="15" applyFont="1" fillId="0" borderId="20" applyBorder="1" xfId="3" applyProtection="1" applyAlignment="1">
      <alignment horizontal="center"/>
    </xf>
    <xf numFmtId="0" fontId="15" applyFont="1" fillId="0" borderId="34" applyBorder="1" xfId="3" applyProtection="1" applyAlignment="1">
      <alignment horizontal="center"/>
    </xf>
    <xf numFmtId="0" fontId="15" applyFont="1" fillId="0" borderId="21" applyBorder="1" xfId="3" applyProtection="1" applyAlignment="1">
      <alignment horizontal="center"/>
    </xf>
    <xf numFmtId="0" fontId="14" applyFont="1" fillId="3" applyFill="1" borderId="34" applyBorder="1" xfId="3" applyProtection="1" applyAlignment="1">
      <alignment horizontal="right"/>
    </xf>
    <xf numFmtId="0" fontId="14" applyFont="1" fillId="3" applyFill="1" borderId="1" applyBorder="1" xfId="3" applyProtection="1" applyAlignment="1">
      <alignment horizontal="left" vertical="center" shrinkToFit="1"/>
    </xf>
    <xf numFmtId="0" fontId="10" applyFont="1" fillId="3" applyFill="1" borderId="1" applyBorder="1" xfId="3" applyProtection="1" applyAlignment="1">
      <alignment horizontal="center" vertical="center" shrinkToFit="1"/>
    </xf>
    <xf numFmtId="167" applyNumberFormat="1" fontId="18" applyFont="1" fillId="3" applyFill="1" borderId="1" applyBorder="1" xfId="3" applyProtection="1" applyAlignment="1">
      <alignment horizontal="center" vertical="center" shrinkToFit="1"/>
    </xf>
    <xf numFmtId="0" fontId="14" applyFont="1" fillId="0" borderId="1" applyBorder="1" xfId="3" applyProtection="1" applyAlignment="1">
      <alignment horizontal="center" vertical="center" shrinkToFit="1"/>
    </xf>
    <xf numFmtId="0" fontId="9" applyFont="1" fillId="0" borderId="1" applyBorder="1" xfId="3" applyProtection="1" applyAlignment="1">
      <alignment horizontal="center" vertical="center" shrinkToFit="1"/>
    </xf>
    <xf numFmtId="0" fontId="18" applyFont="1" fillId="0" borderId="1" applyBorder="1" xfId="3" applyProtection="1" applyAlignment="1">
      <alignment horizontal="center" vertical="center" shrinkToFit="1"/>
    </xf>
    <xf numFmtId="167" applyNumberFormat="1" fontId="20" applyFont="1" fillId="0" borderId="1" applyBorder="1" xfId="3" applyProtection="1" applyAlignment="1">
      <alignment horizontal="center" vertical="center" shrinkToFit="1"/>
    </xf>
    <xf numFmtId="0" fontId="9" applyFont="1" fillId="0" borderId="10" applyBorder="1" xfId="3" applyProtection="1" applyAlignment="1">
      <alignment horizontal="center" vertical="center" shrinkToFit="1"/>
    </xf>
    <xf numFmtId="0" fontId="21" applyFont="1" fillId="0" borderId="20" applyBorder="1" xfId="3" applyProtection="1" applyAlignment="1">
      <alignment horizontal="center"/>
    </xf>
    <xf numFmtId="0" fontId="21" applyFont="1" fillId="0" borderId="34" applyBorder="1" xfId="3" applyProtection="1" applyAlignment="1">
      <alignment horizontal="center"/>
    </xf>
    <xf numFmtId="0" fontId="21" applyFont="1" fillId="0" borderId="22" applyBorder="1" xfId="3" applyProtection="1" applyAlignment="1">
      <alignment horizontal="center"/>
    </xf>
    <xf numFmtId="0" fontId="22" applyFont="1" fillId="0" borderId="9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18" applyFont="1" fillId="0" borderId="32" applyBorder="1" xfId="3" applyProtection="1" applyAlignment="1">
      <alignment horizontal="center" vertical="center" shrinkToFit="1"/>
    </xf>
    <xf numFmtId="0" fontId="18" applyFont="1" fillId="0" borderId="36" applyBorder="1" xfId="3" applyProtection="1" applyAlignment="1">
      <alignment horizontal="center" vertical="center" shrinkToFit="1"/>
    </xf>
    <xf numFmtId="0" fontId="18" applyFont="1" fillId="0" borderId="33" applyBorder="1" xfId="3" applyProtection="1" applyAlignment="1">
      <alignment horizontal="center" vertical="center" shrinkToFit="1"/>
    </xf>
    <xf numFmtId="0" fontId="11" applyFont="1" fillId="0" borderId="18" applyBorder="1" xfId="3" applyProtection="1" applyAlignment="1">
      <alignment horizontal="center" vertical="center" shrinkToFit="1"/>
    </xf>
    <xf numFmtId="0" fontId="14" applyFont="1" fillId="9" applyFill="1" borderId="1" applyBorder="1" xfId="3" applyProtection="1" applyAlignment="1">
      <alignment horizontal="left" vertical="center" shrinkToFit="1"/>
    </xf>
    <xf numFmtId="0" fontId="10" applyFont="1" fillId="9" applyFill="1" borderId="1" applyBorder="1" xfId="3" applyProtection="1" applyAlignment="1">
      <alignment horizontal="center" vertical="center" shrinkToFit="1"/>
    </xf>
    <xf numFmtId="167" applyNumberFormat="1" fontId="18" applyFont="1" fillId="9" applyFill="1" borderId="1" applyBorder="1" xfId="3" applyProtection="1" applyAlignment="1">
      <alignment horizontal="center" vertical="center" shrinkToFit="1"/>
    </xf>
    <xf numFmtId="0" fontId="14" applyFont="1" fillId="3" applyFill="1" borderId="20" applyBorder="1" xfId="3" applyProtection="1" applyAlignment="1">
      <alignment horizontal="center" vertical="center" shrinkToFit="1"/>
    </xf>
    <xf numFmtId="0" fontId="14" applyFont="1" fillId="3" applyFill="1" borderId="34" applyBorder="1" xfId="3" applyProtection="1" applyAlignment="1">
      <alignment horizontal="center" vertical="center" shrinkToFit="1"/>
    </xf>
    <xf numFmtId="0" fontId="14" applyFont="1" fillId="3" applyFill="1" borderId="21" applyBorder="1" xfId="3" applyProtection="1" applyAlignment="1">
      <alignment horizontal="center" vertical="center" shrinkToFit="1"/>
    </xf>
    <xf numFmtId="0" fontId="22" applyFont="1" fillId="0" borderId="20" applyBorder="1" xfId="3" applyProtection="1" applyAlignment="1">
      <alignment horizontal="center" vertical="center" shrinkToFit="1"/>
    </xf>
    <xf numFmtId="0" fontId="22" applyFont="1" fillId="0" borderId="34" applyBorder="1" xfId="3" applyProtection="1" applyAlignment="1">
      <alignment horizontal="center" vertical="center" shrinkToFit="1"/>
    </xf>
    <xf numFmtId="0" fontId="22" applyFont="1" fillId="0" borderId="21" applyBorder="1" xfId="3" applyProtection="1" applyAlignment="1">
      <alignment horizontal="center" vertical="center" shrinkToFit="1"/>
    </xf>
    <xf numFmtId="0" fontId="28" applyFont="1" fillId="0" borderId="37" applyBorder="1" xfId="3" applyProtection="1" applyAlignment="1">
      <alignment horizontal="center" vertical="center" wrapText="1"/>
    </xf>
    <xf numFmtId="0" fontId="28" applyFont="1" fillId="0" borderId="0" xfId="3" applyProtection="1" applyAlignment="1">
      <alignment horizontal="center" vertical="center" wrapText="1"/>
    </xf>
    <xf numFmtId="0" fontId="28" applyFont="1" fillId="0" borderId="38" applyBorder="1" xfId="3" applyProtection="1" applyAlignment="1">
      <alignment horizontal="center" vertical="center" wrapText="1"/>
    </xf>
    <xf numFmtId="0" fontId="29" applyFont="1" fillId="0" borderId="32" applyBorder="1" xfId="3" applyProtection="1" applyAlignment="1">
      <alignment horizontal="center" vertical="center" shrinkToFit="1"/>
    </xf>
    <xf numFmtId="0" fontId="29" applyFont="1" fillId="0" borderId="36" applyBorder="1" xfId="3" applyProtection="1" applyAlignment="1">
      <alignment horizontal="center" vertical="center" shrinkToFit="1"/>
    </xf>
    <xf numFmtId="0" fontId="29" applyFont="1" fillId="0" borderId="33" applyBorder="1" xfId="3" applyProtection="1" applyAlignment="1">
      <alignment horizontal="center" vertical="center" shrinkToFit="1"/>
    </xf>
    <xf numFmtId="0" fontId="30" applyFont="1" fillId="0" borderId="23" applyBorder="1" xfId="3" applyProtection="1" applyAlignment="1">
      <alignment horizontal="center" shrinkToFit="1"/>
    </xf>
    <xf numFmtId="0" fontId="30" applyFont="1" fillId="0" borderId="35" applyBorder="1" xfId="3" applyProtection="1" applyAlignment="1">
      <alignment horizontal="center" shrinkToFit="1"/>
    </xf>
    <xf numFmtId="0" fontId="30" applyFont="1" fillId="0" borderId="2" applyBorder="1" xfId="3" applyProtection="1" applyAlignment="1">
      <alignment horizontal="center" shrinkToFit="1"/>
    </xf>
    <xf numFmtId="49" applyNumberFormat="1" fontId="5" applyFont="1" fillId="0" borderId="20" applyBorder="1" xfId="3" applyProtection="1" applyAlignment="1">
      <alignment horizontal="center"/>
    </xf>
    <xf numFmtId="49" applyNumberFormat="1" fontId="5" applyFont="1" fillId="0" borderId="34" applyBorder="1" xfId="3" applyProtection="1" applyAlignment="1">
      <alignment horizontal="center"/>
    </xf>
    <xf numFmtId="0" fontId="5" applyFont="1" fillId="0" borderId="36" applyBorder="1" xfId="3" applyProtection="1" applyAlignment="1">
      <alignment horizontal="center"/>
    </xf>
    <xf numFmtId="0" fontId="5" applyFont="1" fillId="0" borderId="33" applyBorder="1" xfId="3" applyProtection="1" applyAlignment="1">
      <alignment horizontal="center"/>
    </xf>
    <xf numFmtId="0" fontId="5" applyFont="1" fillId="0" borderId="23" applyBorder="1" xfId="3" applyProtection="1" applyAlignment="1">
      <alignment horizontal="center"/>
    </xf>
    <xf numFmtId="0" fontId="5" applyFont="1" fillId="0" borderId="35" applyBorder="1" xfId="3" applyProtection="1" applyAlignment="1">
      <alignment horizontal="center"/>
    </xf>
    <xf numFmtId="0" fontId="5" applyFont="1" fillId="0" borderId="2" applyBorder="1" xfId="3" applyProtection="1" applyAlignment="1">
      <alignment horizontal="center"/>
    </xf>
    <xf numFmtId="0" fontId="37" applyFont="1" fillId="6" applyFill="1" borderId="1" applyBorder="1" xfId="3" applyProtection="1" applyAlignment="1">
      <alignment horizontal="center" vertical="center"/>
    </xf>
    <xf numFmtId="0" fontId="22" applyFont="1" fillId="0" borderId="20" applyBorder="1" xfId="3" applyProtection="1" applyAlignment="1">
      <alignment horizontal="center"/>
    </xf>
    <xf numFmtId="0" fontId="22" applyFont="1" fillId="0" borderId="34" applyBorder="1" xfId="3" applyProtection="1" applyAlignment="1">
      <alignment horizontal="center"/>
    </xf>
    <xf numFmtId="0" fontId="26" applyFont="1" fillId="0" borderId="37" applyBorder="1" xfId="3" applyProtection="1" applyAlignment="1">
      <alignment horizontal="center" vertical="center" wrapText="1"/>
    </xf>
    <xf numFmtId="0" fontId="26" applyFont="1" fillId="0" borderId="0" xfId="3" applyProtection="1" applyAlignment="1">
      <alignment horizontal="center" vertical="center" wrapText="1"/>
    </xf>
    <xf numFmtId="0" fontId="26" applyFont="1" fillId="0" borderId="38" applyBorder="1" xfId="3" applyProtection="1" applyAlignment="1">
      <alignment horizontal="center" vertical="center" wrapText="1"/>
    </xf>
    <xf numFmtId="0" fontId="27" applyFont="1" fillId="0" borderId="37" applyBorder="1" xfId="3" applyProtection="1" applyAlignment="1">
      <alignment horizontal="center" vertical="center" shrinkToFit="1"/>
    </xf>
    <xf numFmtId="0" fontId="27" applyFont="1" fillId="0" borderId="0" xfId="3" applyProtection="1" applyAlignment="1">
      <alignment horizontal="center" vertical="center" shrinkToFit="1"/>
    </xf>
    <xf numFmtId="0" fontId="27" applyFont="1" fillId="0" borderId="38" applyBorder="1" xfId="3" applyProtection="1" applyAlignment="1">
      <alignment horizontal="center" vertical="center" shrinkToFit="1"/>
    </xf>
    <xf numFmtId="0" fontId="37" applyFont="1" fillId="4" applyFill="1" borderId="1" applyBorder="1" xfId="3" applyProtection="1" applyAlignment="1">
      <alignment horizontal="center" vertical="center"/>
    </xf>
    <xf numFmtId="0" fontId="10" applyFont="1" fillId="0" borderId="23" applyBorder="1" xfId="3" applyProtection="1" applyAlignment="1">
      <alignment horizontal="center" vertical="center" shrinkToFit="1"/>
    </xf>
    <xf numFmtId="0" fontId="10" applyFont="1" fillId="0" borderId="35" applyBorder="1" xfId="3" applyProtection="1" applyAlignment="1">
      <alignment horizontal="center" vertical="center" shrinkToFit="1"/>
    </xf>
    <xf numFmtId="0" fontId="10" applyFont="1" fillId="0" borderId="2" applyBorder="1" xfId="3" applyProtection="1" applyAlignment="1">
      <alignment horizontal="center" vertical="center" shrinkToFit="1"/>
    </xf>
    <xf numFmtId="0" fontId="4" applyFont="1" fillId="0" borderId="1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7" applyBorder="1" xfId="3" applyProtection="1" applyAlignment="1">
      <alignment horizontal="center"/>
      <protection locked="0"/>
    </xf>
    <xf numFmtId="0" fontId="17" applyFont="1" fillId="0" borderId="13" applyBorder="1" xfId="3" applyProtection="1" applyAlignment="1">
      <alignment horizontal="center"/>
      <protection locked="0"/>
    </xf>
    <xf numFmtId="0" fontId="17" applyFont="1" fillId="0" borderId="0" xfId="3" applyProtection="1" applyAlignment="1">
      <alignment horizontal="center"/>
      <protection locked="0"/>
    </xf>
    <xf numFmtId="0" fontId="4" applyFont="1" fillId="0" borderId="32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33" applyBorder="1" xfId="3" applyProtection="1" applyAlignment="1">
      <alignment horizontal="center"/>
    </xf>
    <xf numFmtId="0" fontId="4" applyFont="1" fillId="7" applyFill="1" borderId="32" applyBorder="1" xfId="3" applyProtection="1" applyAlignment="1">
      <alignment horizontal="center"/>
    </xf>
    <xf numFmtId="0" fontId="4" applyFont="1" fillId="7" applyFill="1" borderId="36" applyBorder="1" xfId="3" applyProtection="1" applyAlignment="1">
      <alignment horizontal="center"/>
    </xf>
    <xf numFmtId="0" fontId="4" applyFont="1" fillId="7" applyFill="1" borderId="33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  <protection locked="0"/>
    </xf>
    <xf numFmtId="0" fontId="4" applyFont="1" fillId="0" borderId="4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3" applyFill="1" borderId="32" applyBorder="1" xfId="3" applyProtection="1" applyAlignment="1">
      <alignment horizontal="center" vertical="center" wrapText="1"/>
    </xf>
    <xf numFmtId="0" fontId="4" applyFont="1" fillId="3" applyFill="1" borderId="36" applyBorder="1" xfId="3" applyProtection="1" applyAlignment="1">
      <alignment horizontal="center" vertical="center" wrapText="1"/>
    </xf>
    <xf numFmtId="0" fontId="4" applyFont="1" fillId="3" applyFill="1" borderId="37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23" applyBorder="1" xfId="3" applyProtection="1" applyAlignment="1">
      <alignment horizontal="center" vertical="center" wrapText="1"/>
    </xf>
    <xf numFmtId="0" fontId="4" applyFont="1" fillId="3" applyFill="1" borderId="35" applyBorder="1" xfId="3" applyProtection="1" applyAlignment="1">
      <alignment horizontal="center" vertical="center" wrapText="1"/>
    </xf>
    <xf numFmtId="0" fontId="4" applyFont="1" fillId="7" applyFill="1" borderId="32" applyBorder="1" xfId="3" applyProtection="1" applyAlignment="1">
      <alignment horizontal="center" vertical="center" wrapText="1"/>
    </xf>
    <xf numFmtId="0" fontId="4" applyFont="1" fillId="7" applyFill="1" borderId="36" applyBorder="1" xfId="3" applyProtection="1" applyAlignment="1">
      <alignment horizontal="center" vertical="center" wrapText="1"/>
    </xf>
    <xf numFmtId="0" fontId="4" applyFont="1" fillId="7" applyFill="1" borderId="37" applyBorder="1" xfId="3" applyProtection="1" applyAlignment="1">
      <alignment horizontal="center" vertical="center" wrapText="1"/>
    </xf>
    <xf numFmtId="0" fontId="4" applyFont="1" fillId="7" applyFill="1" borderId="0" xfId="3" applyProtection="1" applyAlignment="1">
      <alignment horizontal="center" vertical="center" wrapText="1"/>
    </xf>
    <xf numFmtId="0" fontId="4" applyFont="1" fillId="7" applyFill="1" borderId="23" applyBorder="1" xfId="3" applyProtection="1" applyAlignment="1">
      <alignment horizontal="center" vertical="center" wrapText="1"/>
    </xf>
    <xf numFmtId="0" fontId="4" applyFont="1" fillId="7" applyFill="1" borderId="35" applyBorder="1" xfId="3" applyProtection="1" applyAlignment="1">
      <alignment horizontal="center" vertical="center" wrapText="1"/>
    </xf>
    <xf numFmtId="0" fontId="4" applyFont="1" fillId="6" applyFill="1" borderId="32" applyBorder="1" xfId="3" applyProtection="1" applyAlignment="1">
      <alignment horizontal="center" vertical="center" wrapText="1"/>
    </xf>
    <xf numFmtId="0" fontId="4" applyFont="1" fillId="6" applyFill="1" borderId="36" applyBorder="1" xfId="3" applyProtection="1" applyAlignment="1">
      <alignment horizontal="center" vertical="center" wrapText="1"/>
    </xf>
    <xf numFmtId="0" fontId="4" applyFont="1" fillId="6" applyFill="1" borderId="37" applyBorder="1" xfId="3" applyProtection="1" applyAlignment="1">
      <alignment horizontal="center" vertical="center" wrapText="1"/>
    </xf>
    <xf numFmtId="0" fontId="4" applyFont="1" fillId="6" applyFill="1" borderId="0" xfId="3" applyProtection="1" applyAlignment="1">
      <alignment horizontal="center" vertical="center" wrapText="1"/>
    </xf>
    <xf numFmtId="0" fontId="4" applyFont="1" fillId="6" applyFill="1" borderId="23" applyBorder="1" xfId="3" applyProtection="1" applyAlignment="1">
      <alignment horizontal="center" vertical="center" wrapText="1"/>
    </xf>
    <xf numFmtId="0" fontId="4" applyFont="1" fillId="6" applyFill="1" borderId="3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38" applyBorder="1" xfId="3" applyProtection="1" applyAlignment="1">
      <alignment horizontal="center" vertical="center"/>
    </xf>
    <xf numFmtId="0" fontId="44" applyFont="1" fillId="11" applyFill="1" borderId="0" xfId="0" applyProtection="1" applyAlignment="1">
      <alignment horizontal="center" vertical="center"/>
    </xf>
    <xf numFmtId="0" fontId="3" applyFont="1" fillId="3" applyFill="1" borderId="0" xfId="0" applyProtection="1" applyAlignment="1">
      <alignment horizontal="center" vertical="center"/>
    </xf>
    <xf numFmtId="0" fontId="53" applyFont="1" fillId="0" borderId="20" applyBorder="1" xfId="3" applyProtection="1" applyAlignment="1">
      <alignment horizontal="center"/>
    </xf>
    <xf numFmtId="0" fontId="53" applyFont="1" fillId="0" borderId="34" applyBorder="1" xfId="3" applyProtection="1" applyAlignment="1">
      <alignment horizontal="center"/>
    </xf>
    <xf numFmtId="0" fontId="53" applyFont="1" fillId="0" borderId="21" applyBorder="1" xfId="3" applyProtection="1" applyAlignment="1">
      <alignment horizontal="center"/>
    </xf>
    <xf numFmtId="0" fontId="1" applyFont="1" fillId="3" applyFill="1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06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71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numFmt numFmtId="2" formatCode="0.00"/>
      <alignment horizontal="center" textRotation="0" wrapText="0" indent="0" justifyLastLine="0" shrinkToFit="0" readingOrder="0"/>
      <protection locked="1" hidden="1"/>
    </dxf>
    <dxf>
      <border outline="0">
        <left style="medium">
          <color auto="1"/>
        </left>
      </border>
    </dxf>
    <dxf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diagonalUp="0" diagonalDown="0" outline="0">
        <left/>
        <right/>
        <top/>
        <bottom/>
      </border>
      <protection locked="1" hidden="1"/>
    </dxf>
    <dxf>
      <numFmt numFmtId="0" formatCode="General"/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border diagonalUp="0" diagonalDown="0" outline="0">
        <left/>
        <right/>
        <top/>
        <bottom/>
      </border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1"/>
    </dxf>
    <dxf>
      <numFmt numFmtId="2" formatCode="0.00"/>
      <alignment horizontal="center" textRotation="0" wrapText="0" indent="0" justifyLastLine="0" shrinkToFit="0" readingOrder="0"/>
      <protection locked="1" hidden="1"/>
    </dxf>
    <dxf>
      <border outline="0">
        <left style="medium">
          <color auto="1"/>
        </left>
      </border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border outline="0"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thin">
          <color indexed="64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protection locked="1" hidden="1"/>
    </dxf>
    <dxf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border outline="0"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thin">
          <color indexed="64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4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4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</font>
      <alignment horizontal="center" vertical="bottom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numFmt numFmtId="0" formatCode="General"/>
      <alignment horizontal="center" vertical="bottom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indent="0" justifyLastLine="0" readingOrder="0"/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8"/>
      </font>
      <alignment horizontal="center" vertical="bottom" indent="0" justifyLastLine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0.jpeg"/><Relationship Id="rId26" Type="http://schemas.openxmlformats.org/officeDocument/2006/relationships/image" Target="../media/image15.jpeg"/><Relationship Id="rId39" Type="http://schemas.openxmlformats.org/officeDocument/2006/relationships/hyperlink" Target="#&#1578;&#1587;&#1593;&#1610;&#1585;!BM24"/><Relationship Id="rId21" Type="http://schemas.openxmlformats.org/officeDocument/2006/relationships/hyperlink" Target="#&#1578;&#1587;&#1593;&#1610;&#1585;!AC36"/><Relationship Id="rId34" Type="http://schemas.openxmlformats.org/officeDocument/2006/relationships/image" Target="../media/image22.png"/><Relationship Id="rId42" Type="http://schemas.openxmlformats.org/officeDocument/2006/relationships/image" Target="../media/image26.jpeg"/><Relationship Id="rId47" Type="http://schemas.openxmlformats.org/officeDocument/2006/relationships/image" Target="../media/image30.png"/><Relationship Id="rId50" Type="http://schemas.openxmlformats.org/officeDocument/2006/relationships/hyperlink" Target="#&#1578;&#1587;&#1593;&#1610;&#1585;!BB41"/><Relationship Id="rId7" Type="http://schemas.openxmlformats.org/officeDocument/2006/relationships/hyperlink" Target="#&#1578;&#1587;&#1593;&#1610;&#1585;!AQ1"/><Relationship Id="rId2" Type="http://schemas.openxmlformats.org/officeDocument/2006/relationships/hyperlink" Target="#A1"/><Relationship Id="rId16" Type="http://schemas.openxmlformats.org/officeDocument/2006/relationships/hyperlink" Target="#&#1578;&#1587;&#1593;&#1610;&#1585;!A59"/><Relationship Id="rId29" Type="http://schemas.openxmlformats.org/officeDocument/2006/relationships/image" Target="../media/image17.png"/><Relationship Id="rId11" Type="http://schemas.openxmlformats.org/officeDocument/2006/relationships/image" Target="../media/image6.jpeg"/><Relationship Id="rId24" Type="http://schemas.openxmlformats.org/officeDocument/2006/relationships/image" Target="../media/image13.jpeg"/><Relationship Id="rId32" Type="http://schemas.openxmlformats.org/officeDocument/2006/relationships/image" Target="../media/image20.png"/><Relationship Id="rId37" Type="http://schemas.openxmlformats.org/officeDocument/2006/relationships/hyperlink" Target="#&#1578;&#1587;&#1593;&#1610;&#1585;!AB77"/><Relationship Id="rId40" Type="http://schemas.openxmlformats.org/officeDocument/2006/relationships/image" Target="../media/image25.jpeg"/><Relationship Id="rId45" Type="http://schemas.openxmlformats.org/officeDocument/2006/relationships/image" Target="../media/image29.png"/><Relationship Id="rId5" Type="http://schemas.openxmlformats.org/officeDocument/2006/relationships/hyperlink" Target="#&#1578;&#1587;&#1593;&#1610;&#1585;!A35"/><Relationship Id="rId15" Type="http://schemas.openxmlformats.org/officeDocument/2006/relationships/image" Target="../media/image9.jpeg"/><Relationship Id="rId23" Type="http://schemas.openxmlformats.org/officeDocument/2006/relationships/hyperlink" Target="#&#1578;&#1587;&#1593;&#1610;&#1585;!A98"/><Relationship Id="rId28" Type="http://schemas.openxmlformats.org/officeDocument/2006/relationships/image" Target="../media/image16.jpeg"/><Relationship Id="rId36" Type="http://schemas.openxmlformats.org/officeDocument/2006/relationships/image" Target="../media/image23.jpeg"/><Relationship Id="rId49" Type="http://schemas.openxmlformats.org/officeDocument/2006/relationships/image" Target="../media/image31.png"/><Relationship Id="rId10" Type="http://schemas.openxmlformats.org/officeDocument/2006/relationships/image" Target="../media/image5.jpeg"/><Relationship Id="rId19" Type="http://schemas.openxmlformats.org/officeDocument/2006/relationships/hyperlink" Target="#&#1578;&#1587;&#1593;&#1610;&#1585;!AC1"/><Relationship Id="rId31" Type="http://schemas.openxmlformats.org/officeDocument/2006/relationships/image" Target="../media/image19.png"/><Relationship Id="rId44" Type="http://schemas.openxmlformats.org/officeDocument/2006/relationships/image" Target="../media/image28.png"/><Relationship Id="rId4" Type="http://schemas.openxmlformats.org/officeDocument/2006/relationships/hyperlink" Target="#&#1578;&#1587;&#1593;&#1610;&#1585;!A34"/><Relationship Id="rId9" Type="http://schemas.openxmlformats.org/officeDocument/2006/relationships/image" Target="../media/image4.png"/><Relationship Id="rId14" Type="http://schemas.openxmlformats.org/officeDocument/2006/relationships/hyperlink" Target="#&#1578;&#1587;&#1593;&#1610;&#1585;!BB1"/><Relationship Id="rId22" Type="http://schemas.openxmlformats.org/officeDocument/2006/relationships/image" Target="../media/image12.jpeg"/><Relationship Id="rId27" Type="http://schemas.openxmlformats.org/officeDocument/2006/relationships/hyperlink" Target="#&#1578;&#1587;&#1593;&#1610;&#1585;!A78"/><Relationship Id="rId30" Type="http://schemas.openxmlformats.org/officeDocument/2006/relationships/image" Target="../media/image18.png"/><Relationship Id="rId35" Type="http://schemas.openxmlformats.org/officeDocument/2006/relationships/hyperlink" Target="#&#1578;&#1587;&#1593;&#1610;&#1585;!AB42"/><Relationship Id="rId43" Type="http://schemas.openxmlformats.org/officeDocument/2006/relationships/image" Target="../media/image27.png"/><Relationship Id="rId48" Type="http://schemas.openxmlformats.org/officeDocument/2006/relationships/hyperlink" Target="#&#1578;&#1587;&#1593;&#1610;&#1585;!BM41"/><Relationship Id="rId8" Type="http://schemas.openxmlformats.org/officeDocument/2006/relationships/image" Target="../media/image3.jpeg"/><Relationship Id="rId51" Type="http://schemas.openxmlformats.org/officeDocument/2006/relationships/image" Target="../media/image32.jpeg"/><Relationship Id="rId3" Type="http://schemas.openxmlformats.org/officeDocument/2006/relationships/hyperlink" Target="#&#1578;&#1587;&#1593;&#1610;&#1585;!A1"/><Relationship Id="rId12" Type="http://schemas.openxmlformats.org/officeDocument/2006/relationships/image" Target="../media/image7.jpeg"/><Relationship Id="rId17" Type="http://schemas.openxmlformats.org/officeDocument/2006/relationships/hyperlink" Target="#&#1578;&#1587;&#1593;&#1610;&#1585;!BN1"/><Relationship Id="rId25" Type="http://schemas.openxmlformats.org/officeDocument/2006/relationships/image" Target="../media/image14.jpeg"/><Relationship Id="rId33" Type="http://schemas.openxmlformats.org/officeDocument/2006/relationships/image" Target="../media/image21.png"/><Relationship Id="rId38" Type="http://schemas.openxmlformats.org/officeDocument/2006/relationships/image" Target="../media/image24.jpeg"/><Relationship Id="rId46" Type="http://schemas.openxmlformats.org/officeDocument/2006/relationships/hyperlink" Target="#&#1578;&#1587;&#1593;&#1610;&#1585;!A60"/><Relationship Id="rId20" Type="http://schemas.openxmlformats.org/officeDocument/2006/relationships/image" Target="../media/image11.jpeg"/><Relationship Id="rId41" Type="http://schemas.openxmlformats.org/officeDocument/2006/relationships/hyperlink" Target="#&#1578;&#1587;&#1593;&#1610;&#1585;!BB24"/><Relationship Id="rId1" Type="http://schemas.openxmlformats.org/officeDocument/2006/relationships/image" Target="../media/image1.jpeg"/><Relationship Id="rId6" Type="http://schemas.openxmlformats.org/officeDocument/2006/relationships/image" Target="../media/image2.jpeg"/><Relationship Id="rId52" Type="http://schemas.openxmlformats.org/officeDocument/2006/relationships/image" Target="../media/image1.jpeg"/><Relationship Id="rId53" Type="http://schemas.openxmlformats.org/officeDocument/2006/relationships/image" Target="../media/image2.jpeg"/><Relationship Id="rId54" Type="http://schemas.openxmlformats.org/officeDocument/2006/relationships/image" Target="../media/image3.jpeg"/><Relationship Id="rId55" Type="http://schemas.openxmlformats.org/officeDocument/2006/relationships/image" Target="../media/image4.png"/><Relationship Id="rId56" Type="http://schemas.openxmlformats.org/officeDocument/2006/relationships/image" Target="../media/image5.jpeg"/><Relationship Id="rId57" Type="http://schemas.openxmlformats.org/officeDocument/2006/relationships/image" Target="../media/image6.jpeg"/><Relationship Id="rId58" Type="http://schemas.openxmlformats.org/officeDocument/2006/relationships/image" Target="../media/image7.jpeg"/><Relationship Id="rId59" Type="http://schemas.openxmlformats.org/officeDocument/2006/relationships/image" Target="../media/image8.jpeg"/><Relationship Id="rId60" Type="http://schemas.openxmlformats.org/officeDocument/2006/relationships/image" Target="../media/image9.jpeg"/><Relationship Id="rId61" Type="http://schemas.openxmlformats.org/officeDocument/2006/relationships/image" Target="../media/image10.jpeg"/><Relationship Id="rId62" Type="http://schemas.openxmlformats.org/officeDocument/2006/relationships/image" Target="../media/image11.jpeg"/><Relationship Id="rId63" Type="http://schemas.openxmlformats.org/officeDocument/2006/relationships/image" Target="../media/image12.jpeg"/><Relationship Id="rId64" Type="http://schemas.openxmlformats.org/officeDocument/2006/relationships/image" Target="../media/image13.jpeg"/><Relationship Id="rId65" Type="http://schemas.openxmlformats.org/officeDocument/2006/relationships/image" Target="../media/image14.jpeg"/><Relationship Id="rId66" Type="http://schemas.openxmlformats.org/officeDocument/2006/relationships/image" Target="../media/image15.jpeg"/><Relationship Id="rId67" Type="http://schemas.openxmlformats.org/officeDocument/2006/relationships/image" Target="../media/image16.jpeg"/><Relationship Id="rId68" Type="http://schemas.openxmlformats.org/officeDocument/2006/relationships/image" Target="../media/image17.png"/><Relationship Id="rId69" Type="http://schemas.openxmlformats.org/officeDocument/2006/relationships/image" Target="../media/image18.png"/><Relationship Id="rId70" Type="http://schemas.openxmlformats.org/officeDocument/2006/relationships/image" Target="../media/image19.png"/><Relationship Id="rId71" Type="http://schemas.openxmlformats.org/officeDocument/2006/relationships/image" Target="../media/image20.png"/><Relationship Id="rId72" Type="http://schemas.openxmlformats.org/officeDocument/2006/relationships/image" Target="../media/image21.png"/><Relationship Id="rId73" Type="http://schemas.openxmlformats.org/officeDocument/2006/relationships/image" Target="../media/image22.png"/><Relationship Id="rId74" Type="http://schemas.openxmlformats.org/officeDocument/2006/relationships/image" Target="../media/image23.jpeg"/><Relationship Id="rId75" Type="http://schemas.openxmlformats.org/officeDocument/2006/relationships/image" Target="../media/image24.jpeg"/><Relationship Id="rId76" Type="http://schemas.openxmlformats.org/officeDocument/2006/relationships/image" Target="../media/image25.jpeg"/><Relationship Id="rId77" Type="http://schemas.openxmlformats.org/officeDocument/2006/relationships/image" Target="../media/image26.jpeg"/><Relationship Id="rId78" Type="http://schemas.openxmlformats.org/officeDocument/2006/relationships/image" Target="../media/image27.png"/><Relationship Id="rId79" Type="http://schemas.openxmlformats.org/officeDocument/2006/relationships/image" Target="../media/image28.png"/><Relationship Id="rId80" Type="http://schemas.openxmlformats.org/officeDocument/2006/relationships/image" Target="../media/image29.png"/><Relationship Id="rId81" Type="http://schemas.openxmlformats.org/officeDocument/2006/relationships/image" Target="../media/image30.png"/><Relationship Id="rId82" Type="http://schemas.openxmlformats.org/officeDocument/2006/relationships/image" Target="../media/image31.png"/><Relationship Id="rId83" Type="http://schemas.openxmlformats.org/officeDocument/2006/relationships/image" Target="../media/image3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51953</xdr:colOff>
      <xdr:row>0</xdr:row>
      <xdr:rowOff>176893</xdr:rowOff>
    </xdr:from>
    <xdr:to>
      <xdr:col>12</xdr:col>
      <xdr:colOff>66675</xdr:colOff>
      <xdr:row>2</xdr:row>
      <xdr:rowOff>551090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324136" y="176893"/>
          <a:ext cx="8564768" cy="1530804"/>
        </a:xfrm>
        <a:prstGeom prst="rect">
          <a:avLst/>
        </a:prstGeom>
      </xdr:spPr>
    </xdr:pic>
    <xdr:clientData/>
  </xdr:twoCellAnchor>
  <xdr:twoCellAnchor editAs="oneCell">
    <xdr:from>
      <xdr:col>5</xdr:col>
      <xdr:colOff>1374321</xdr:colOff>
      <xdr:row>22</xdr:row>
      <xdr:rowOff>149679</xdr:rowOff>
    </xdr:from>
    <xdr:to>
      <xdr:col>10</xdr:col>
      <xdr:colOff>1362075</xdr:colOff>
      <xdr:row>34</xdr:row>
      <xdr:rowOff>166686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9844999" y="12627429"/>
          <a:ext cx="5793243" cy="6041571"/>
        </a:xfrm>
        <a:prstGeom prst="rect">
          <a:avLst/>
        </a:prstGeom>
      </xdr:spPr>
    </xdr:pic>
    <xdr:clientData/>
  </xdr:twoCellAnchor>
  <xdr:twoCellAnchor editAs="oneCell">
    <xdr:from>
      <xdr:col>23</xdr:col>
      <xdr:colOff>1398161</xdr:colOff>
      <xdr:row>0</xdr:row>
      <xdr:rowOff>17574</xdr:rowOff>
    </xdr:from>
    <xdr:to>
      <xdr:col>27</xdr:col>
      <xdr:colOff>38100</xdr:colOff>
      <xdr:row>2</xdr:row>
      <xdr:rowOff>394607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6660980" y="17574"/>
          <a:ext cx="5389109" cy="15336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 flipH="1">
          <a:off x="10150511855" y="3917157"/>
          <a:ext cx="1255256" cy="224517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</xdr:col>
      <xdr:colOff>1478878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 flipH="1">
          <a:off x="10043939728" y="25301227"/>
          <a:ext cx="642400" cy="582602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901494</xdr:colOff>
      <xdr:row>20</xdr:row>
      <xdr:rowOff>17580</xdr:rowOff>
    </xdr:from>
    <xdr:to>
      <xdr:col>28</xdr:col>
      <xdr:colOff>1295400</xdr:colOff>
      <xdr:row>23</xdr:row>
      <xdr:rowOff>119060</xdr:rowOff>
    </xdr:to>
    <xdr:pic>
      <xdr:nvPicPr>
        <xdr:cNvPr id="8" name="Picture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3916108" y="11719723"/>
          <a:ext cx="5197898" cy="1611874"/>
        </a:xfrm>
        <a:prstGeom prst="rect">
          <a:avLst/>
        </a:prstGeom>
      </xdr:spPr>
    </xdr:pic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 flipH="1">
          <a:off x="10039547987" y="14171164"/>
          <a:ext cx="1020535" cy="209686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1</xdr:col>
      <xdr:colOff>27215</xdr:colOff>
      <xdr:row>3</xdr:row>
      <xdr:rowOff>27214</xdr:rowOff>
    </xdr:from>
    <xdr:to>
      <xdr:col>4</xdr:col>
      <xdr:colOff>9525</xdr:colOff>
      <xdr:row>6</xdr:row>
      <xdr:rowOff>40819</xdr:rowOff>
    </xdr:to>
    <xdr:pic>
      <xdr:nvPicPr>
        <xdr:cNvPr id="10" name="Picture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02" t="4279" r="3610" b="54140"/>
        <a:stretch/>
      </xdr:blipFill>
      <xdr:spPr>
        <a:xfrm>
          <a:off x="10086253822" y="1877785"/>
          <a:ext cx="4082142" cy="2136321"/>
        </a:xfrm>
        <a:prstGeom prst="rect">
          <a:avLst/>
        </a:prstGeom>
      </xdr:spPr>
    </xdr:pic>
    <xdr:clientData/>
  </xdr:twoCellAnchor>
  <xdr:twoCellAnchor editAs="oneCell">
    <xdr:from>
      <xdr:col>36</xdr:col>
      <xdr:colOff>904876</xdr:colOff>
      <xdr:row>0</xdr:row>
      <xdr:rowOff>58395</xdr:rowOff>
    </xdr:from>
    <xdr:to>
      <xdr:col>43</xdr:col>
      <xdr:colOff>9525</xdr:colOff>
      <xdr:row>3</xdr:row>
      <xdr:rowOff>619123</xdr:rowOff>
    </xdr:to>
    <xdr:pic>
      <xdr:nvPicPr>
        <xdr:cNvPr id="16" name="Picture 1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753581" y="58395"/>
          <a:ext cx="8919481" cy="239429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 flipH="1">
          <a:off x="10019299876" y="3088825"/>
          <a:ext cx="1136198" cy="191180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36</xdr:col>
      <xdr:colOff>571499</xdr:colOff>
      <xdr:row>20</xdr:row>
      <xdr:rowOff>309562</xdr:rowOff>
    </xdr:from>
    <xdr:to>
      <xdr:col>41</xdr:col>
      <xdr:colOff>704850</xdr:colOff>
      <xdr:row>24</xdr:row>
      <xdr:rowOff>95250</xdr:rowOff>
    </xdr:to>
    <xdr:pic>
      <xdr:nvPicPr>
        <xdr:cNvPr id="18" name="Picture 1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100312" y="11787187"/>
          <a:ext cx="7858127" cy="17859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 flipH="1">
          <a:off x="10003246850" y="16066634"/>
          <a:ext cx="1517195" cy="191860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</xdr:col>
      <xdr:colOff>69273</xdr:colOff>
      <xdr:row>3</xdr:row>
      <xdr:rowOff>64738</xdr:rowOff>
    </xdr:from>
    <xdr:to>
      <xdr:col>7</xdr:col>
      <xdr:colOff>1350819</xdr:colOff>
      <xdr:row>6</xdr:row>
      <xdr:rowOff>11832</xdr:rowOff>
    </xdr:to>
    <xdr:pic>
      <xdr:nvPicPr>
        <xdr:cNvPr id="11" name="Picture 10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2" t="7002" r="10948" b="6688"/>
        <a:stretch/>
      </xdr:blipFill>
      <xdr:spPr>
        <a:xfrm>
          <a:off x="9981178227" y="1917783"/>
          <a:ext cx="4017818" cy="2077231"/>
        </a:xfrm>
        <a:prstGeom prst="rect">
          <a:avLst/>
        </a:prstGeom>
      </xdr:spPr>
    </xdr:pic>
    <xdr:clientData/>
  </xdr:twoCellAnchor>
  <xdr:twoCellAnchor editAs="oneCell">
    <xdr:from>
      <xdr:col>20</xdr:col>
      <xdr:colOff>340184</xdr:colOff>
      <xdr:row>2</xdr:row>
      <xdr:rowOff>244929</xdr:rowOff>
    </xdr:from>
    <xdr:to>
      <xdr:col>29</xdr:col>
      <xdr:colOff>66675</xdr:colOff>
      <xdr:row>13</xdr:row>
      <xdr:rowOff>64632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2" r="2802" b="14965"/>
        <a:stretch/>
      </xdr:blipFill>
      <xdr:spPr>
        <a:xfrm flipH="1">
          <a:off x="10023824250" y="1387929"/>
          <a:ext cx="14382744" cy="6667499"/>
        </a:xfrm>
        <a:prstGeom prst="rect">
          <a:avLst/>
        </a:prstGeom>
      </xdr:spPr>
    </xdr:pic>
    <xdr:clientData/>
  </xdr:twoCellAnchor>
  <xdr:twoCellAnchor>
    <xdr:from>
      <xdr:col>22</xdr:col>
      <xdr:colOff>13607</xdr:colOff>
      <xdr:row>5</xdr:row>
      <xdr:rowOff>489858</xdr:rowOff>
    </xdr:from>
    <xdr:to>
      <xdr:col>26</xdr:col>
      <xdr:colOff>1360715</xdr:colOff>
      <xdr:row>7</xdr:row>
      <xdr:rowOff>299358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10023184714" y="3673929"/>
          <a:ext cx="7987393" cy="7620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1592036</xdr:colOff>
      <xdr:row>4</xdr:row>
      <xdr:rowOff>299357</xdr:rowOff>
    </xdr:from>
    <xdr:to>
      <xdr:col>28</xdr:col>
      <xdr:colOff>666751</xdr:colOff>
      <xdr:row>5</xdr:row>
      <xdr:rowOff>517072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10020721821" y="2775857"/>
          <a:ext cx="2231572" cy="92528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1510393</xdr:colOff>
      <xdr:row>5</xdr:row>
      <xdr:rowOff>40822</xdr:rowOff>
    </xdr:from>
    <xdr:to>
      <xdr:col>27</xdr:col>
      <xdr:colOff>925286</xdr:colOff>
      <xdr:row>9</xdr:row>
      <xdr:rowOff>40822</xdr:rowOff>
    </xdr:to>
    <xdr:cxnSp macro="">
      <xdr:nvCxnSpPr>
        <xdr:cNvPr id="27" name="Straight Connector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10021769571" y="3224893"/>
          <a:ext cx="1265465" cy="2367643"/>
        </a:xfrm>
        <a:prstGeom prst="line">
          <a:avLst/>
        </a:prstGeom>
        <a:ln w="5715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 flipH="1">
          <a:off x="10034097643" y="3741964"/>
          <a:ext cx="0" cy="398689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10034111250" y="5973536"/>
          <a:ext cx="503465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10165318125" y="13239750"/>
          <a:ext cx="1" cy="5786437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1387620</xdr:colOff>
      <xdr:row>31</xdr:row>
      <xdr:rowOff>333377</xdr:rowOff>
    </xdr:from>
    <xdr:to>
      <xdr:col>28</xdr:col>
      <xdr:colOff>34637</xdr:colOff>
      <xdr:row>33</xdr:row>
      <xdr:rowOff>450273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957105954" y="17339832"/>
          <a:ext cx="1781608" cy="11213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467591</xdr:rowOff>
    </xdr:from>
    <xdr:to>
      <xdr:col>26</xdr:col>
      <xdr:colOff>1073727</xdr:colOff>
      <xdr:row>31</xdr:row>
      <xdr:rowOff>30307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9959201455" y="16971818"/>
          <a:ext cx="7316932" cy="6494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1404934</xdr:colOff>
      <xdr:row>25</xdr:row>
      <xdr:rowOff>476231</xdr:rowOff>
    </xdr:from>
    <xdr:to>
      <xdr:col>20</xdr:col>
      <xdr:colOff>1452559</xdr:colOff>
      <xdr:row>33</xdr:row>
      <xdr:rowOff>190481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10178248316" y="14454169"/>
          <a:ext cx="47625" cy="3714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950962</xdr:colOff>
      <xdr:row>11</xdr:row>
      <xdr:rowOff>13607</xdr:rowOff>
    </xdr:from>
    <xdr:to>
      <xdr:col>39</xdr:col>
      <xdr:colOff>885825</xdr:colOff>
      <xdr:row>15</xdr:row>
      <xdr:rowOff>3157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52" b="5628"/>
        <a:stretch/>
      </xdr:blipFill>
      <xdr:spPr>
        <a:xfrm>
          <a:off x="10036271384" y="6599464"/>
          <a:ext cx="4563332" cy="2340864"/>
        </a:xfrm>
        <a:prstGeom prst="rect">
          <a:avLst/>
        </a:prstGeom>
      </xdr:spPr>
    </xdr:pic>
    <xdr:clientData/>
  </xdr:twoCellAnchor>
  <xdr:twoCellAnchor editAs="oneCell">
    <xdr:from>
      <xdr:col>39</xdr:col>
      <xdr:colOff>938570</xdr:colOff>
      <xdr:row>11</xdr:row>
      <xdr:rowOff>20409</xdr:rowOff>
    </xdr:from>
    <xdr:to>
      <xdr:col>43</xdr:col>
      <xdr:colOff>180975</xdr:colOff>
      <xdr:row>15</xdr:row>
      <xdr:rowOff>7703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82" b="6108"/>
        <a:stretch/>
      </xdr:blipFill>
      <xdr:spPr>
        <a:xfrm>
          <a:off x="10031689180" y="6606266"/>
          <a:ext cx="4545107" cy="2338608"/>
        </a:xfrm>
        <a:prstGeom prst="rect">
          <a:avLst/>
        </a:prstGeom>
      </xdr:spPr>
    </xdr:pic>
    <xdr:clientData/>
  </xdr:twoCellAnchor>
  <xdr:twoCellAnchor editAs="oneCell">
    <xdr:from>
      <xdr:col>29</xdr:col>
      <xdr:colOff>3878036</xdr:colOff>
      <xdr:row>11</xdr:row>
      <xdr:rowOff>2741</xdr:rowOff>
    </xdr:from>
    <xdr:to>
      <xdr:col>33</xdr:col>
      <xdr:colOff>876300</xdr:colOff>
      <xdr:row>14</xdr:row>
      <xdr:rowOff>220890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7" b="6868"/>
        <a:stretch/>
      </xdr:blipFill>
      <xdr:spPr>
        <a:xfrm>
          <a:off x="10045517437" y="6588598"/>
          <a:ext cx="4527777" cy="2340864"/>
        </a:xfrm>
        <a:prstGeom prst="rect">
          <a:avLst/>
        </a:prstGeom>
      </xdr:spPr>
    </xdr:pic>
    <xdr:clientData/>
  </xdr:twoCellAnchor>
  <xdr:twoCellAnchor editAs="oneCell">
    <xdr:from>
      <xdr:col>33</xdr:col>
      <xdr:colOff>938893</xdr:colOff>
      <xdr:row>11</xdr:row>
      <xdr:rowOff>6818</xdr:rowOff>
    </xdr:from>
    <xdr:to>
      <xdr:col>36</xdr:col>
      <xdr:colOff>790575</xdr:colOff>
      <xdr:row>14</xdr:row>
      <xdr:rowOff>224968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74" b="7042"/>
        <a:stretch/>
      </xdr:blipFill>
      <xdr:spPr>
        <a:xfrm>
          <a:off x="10040894411" y="6592675"/>
          <a:ext cx="4565196" cy="2340864"/>
        </a:xfrm>
        <a:prstGeom prst="rect">
          <a:avLst/>
        </a:prstGeom>
      </xdr:spPr>
    </xdr:pic>
    <xdr:clientData/>
  </xdr:twoCellAnchor>
  <xdr:oneCellAnchor>
    <xdr:from>
      <xdr:col>50</xdr:col>
      <xdr:colOff>159906</xdr:colOff>
      <xdr:row>0</xdr:row>
      <xdr:rowOff>17574</xdr:rowOff>
    </xdr:from>
    <xdr:ext cx="5382924" cy="1531166"/>
    <xdr:pic>
      <xdr:nvPicPr>
        <xdr:cNvPr id="51" name="Picture 5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863777" y="175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10123170000" y="7262812"/>
          <a:ext cx="11572875" cy="16668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1428749</xdr:colOff>
      <xdr:row>9</xdr:row>
      <xdr:rowOff>619124</xdr:rowOff>
    </xdr:from>
    <xdr:to>
      <xdr:col>48</xdr:col>
      <xdr:colOff>547687</xdr:colOff>
      <xdr:row>11</xdr:row>
      <xdr:rowOff>500063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10131885375" y="6262687"/>
          <a:ext cx="2357438" cy="83343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159906</xdr:colOff>
      <xdr:row>0</xdr:row>
      <xdr:rowOff>85609</xdr:rowOff>
    </xdr:from>
    <xdr:ext cx="5382924" cy="1531166"/>
    <xdr:pic>
      <xdr:nvPicPr>
        <xdr:cNvPr id="37" name="Picture 3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22349" y="85609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9945738300" y="7277100"/>
          <a:ext cx="11277600" cy="762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1485900</xdr:colOff>
      <xdr:row>9</xdr:row>
      <xdr:rowOff>685800</xdr:rowOff>
    </xdr:from>
    <xdr:to>
      <xdr:col>58</xdr:col>
      <xdr:colOff>1600200</xdr:colOff>
      <xdr:row>11</xdr:row>
      <xdr:rowOff>342900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 flipH="1" flipV="1">
          <a:off x="9955301400" y="6362700"/>
          <a:ext cx="1752600" cy="60960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6184</xdr:colOff>
      <xdr:row>44</xdr:row>
      <xdr:rowOff>149678</xdr:rowOff>
    </xdr:from>
    <xdr:ext cx="6336166" cy="5998276"/>
    <xdr:pic>
      <xdr:nvPicPr>
        <xdr:cNvPr id="44" name="Picture 4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554832" y="23477269"/>
          <a:ext cx="6336166" cy="5998276"/>
        </a:xfrm>
        <a:prstGeom prst="rect">
          <a:avLst/>
        </a:prstGeom>
      </xdr:spPr>
    </xdr:pic>
    <xdr:clientData/>
  </xdr:oneCellAnchor>
  <xdr:twoCellAnchor editAs="oneCell">
    <xdr:from>
      <xdr:col>1</xdr:col>
      <xdr:colOff>114299</xdr:colOff>
      <xdr:row>44</xdr:row>
      <xdr:rowOff>149679</xdr:rowOff>
    </xdr:from>
    <xdr:to>
      <xdr:col>5</xdr:col>
      <xdr:colOff>1362075</xdr:colOff>
      <xdr:row>55</xdr:row>
      <xdr:rowOff>180108</xdr:rowOff>
    </xdr:to>
    <xdr:pic>
      <xdr:nvPicPr>
        <xdr:cNvPr id="12" name="Picture 11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" t="28888" r="56683" b="29213"/>
        <a:stretch/>
      </xdr:blipFill>
      <xdr:spPr>
        <a:xfrm>
          <a:off x="9983890998" y="23477270"/>
          <a:ext cx="5676158" cy="5980957"/>
        </a:xfrm>
        <a:prstGeom prst="rect">
          <a:avLst/>
        </a:prstGeom>
      </xdr:spPr>
    </xdr:pic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 flipH="1">
          <a:off x="9960212733" y="40701"/>
          <a:ext cx="11361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11</xdr:col>
      <xdr:colOff>544286</xdr:colOff>
      <xdr:row>44</xdr:row>
      <xdr:rowOff>149678</xdr:rowOff>
    </xdr:from>
    <xdr:to>
      <xdr:col>16</xdr:col>
      <xdr:colOff>142875</xdr:colOff>
      <xdr:row>55</xdr:row>
      <xdr:rowOff>239486</xdr:rowOff>
    </xdr:to>
    <xdr:pic>
      <xdr:nvPicPr>
        <xdr:cNvPr id="21" name="Picture 20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6" t="3253" r="2435" b="54467"/>
        <a:stretch/>
      </xdr:blipFill>
      <xdr:spPr>
        <a:xfrm>
          <a:off x="10072780029" y="23499535"/>
          <a:ext cx="5445578" cy="5891894"/>
        </a:xfrm>
        <a:prstGeom prst="rect">
          <a:avLst/>
        </a:prstGeom>
      </xdr:spPr>
    </xdr:pic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 flipH="1">
          <a:off x="9949859802" y="44164"/>
          <a:ext cx="113619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0</xdr:col>
      <xdr:colOff>166689</xdr:colOff>
      <xdr:row>22</xdr:row>
      <xdr:rowOff>149678</xdr:rowOff>
    </xdr:from>
    <xdr:to>
      <xdr:col>6</xdr:col>
      <xdr:colOff>19050</xdr:colOff>
      <xdr:row>34</xdr:row>
      <xdr:rowOff>163284</xdr:rowOff>
    </xdr:to>
    <xdr:pic>
      <xdr:nvPicPr>
        <xdr:cNvPr id="26" name="Picture 25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" t="37497" r="54309" b="33637"/>
        <a:stretch/>
      </xdr:blipFill>
      <xdr:spPr>
        <a:xfrm>
          <a:off x="10084580143" y="12627428"/>
          <a:ext cx="5929311" cy="6068785"/>
        </a:xfrm>
        <a:prstGeom prst="rect">
          <a:avLst/>
        </a:prstGeom>
      </xdr:spPr>
    </xdr:pic>
    <xdr:clientData/>
  </xdr:twoCellAnchor>
  <xdr:twoCellAnchor editAs="oneCell">
    <xdr:from>
      <xdr:col>10</xdr:col>
      <xdr:colOff>1343707</xdr:colOff>
      <xdr:row>22</xdr:row>
      <xdr:rowOff>149678</xdr:rowOff>
    </xdr:from>
    <xdr:to>
      <xdr:col>15</xdr:col>
      <xdr:colOff>1314450</xdr:colOff>
      <xdr:row>34</xdr:row>
      <xdr:rowOff>180294</xdr:rowOff>
    </xdr:to>
    <xdr:pic>
      <xdr:nvPicPr>
        <xdr:cNvPr id="28" name="Picture 27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58" t="70855" r="25175" b="10678"/>
        <a:stretch/>
      </xdr:blipFill>
      <xdr:spPr>
        <a:xfrm>
          <a:off x="10072986857" y="12627428"/>
          <a:ext cx="5813650" cy="6085795"/>
        </a:xfrm>
        <a:prstGeom prst="rect">
          <a:avLst/>
        </a:prstGeom>
      </xdr:spPr>
    </xdr:pic>
    <xdr:clientData/>
  </xdr:twoCellAnchor>
  <xdr:twoCellAnchor editAs="oneCell">
    <xdr:from>
      <xdr:col>9</xdr:col>
      <xdr:colOff>34638</xdr:colOff>
      <xdr:row>3</xdr:row>
      <xdr:rowOff>69273</xdr:rowOff>
    </xdr:from>
    <xdr:to>
      <xdr:col>12</xdr:col>
      <xdr:colOff>9525</xdr:colOff>
      <xdr:row>6</xdr:row>
      <xdr:rowOff>17317</xdr:rowOff>
    </xdr:to>
    <xdr:pic>
      <xdr:nvPicPr>
        <xdr:cNvPr id="29" name="Picture 28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2" t="28688" r="52373" b="26112"/>
        <a:stretch/>
      </xdr:blipFill>
      <xdr:spPr>
        <a:xfrm>
          <a:off x="9976727455" y="1922318"/>
          <a:ext cx="4087089" cy="2078182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136072</xdr:colOff>
      <xdr:row>7</xdr:row>
      <xdr:rowOff>40821</xdr:rowOff>
    </xdr:from>
    <xdr:to>
      <xdr:col>15</xdr:col>
      <xdr:colOff>1219200</xdr:colOff>
      <xdr:row>9</xdr:row>
      <xdr:rowOff>691491</xdr:rowOff>
    </xdr:to>
    <xdr:pic>
      <xdr:nvPicPr>
        <xdr:cNvPr id="31" name="Picture 30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70" t="49021" r="25967" b="30930"/>
        <a:stretch/>
      </xdr:blipFill>
      <xdr:spPr>
        <a:xfrm>
          <a:off x="10079273358" y="4259035"/>
          <a:ext cx="3837213" cy="2065813"/>
        </a:xfrm>
        <a:prstGeom prst="rect">
          <a:avLst/>
        </a:prstGeom>
      </xdr:spPr>
    </xdr:pic>
    <xdr:clientData/>
  </xdr:twoCellAnchor>
  <xdr:twoCellAnchor editAs="oneCell">
    <xdr:from>
      <xdr:col>13</xdr:col>
      <xdr:colOff>17318</xdr:colOff>
      <xdr:row>3</xdr:row>
      <xdr:rowOff>34637</xdr:rowOff>
    </xdr:from>
    <xdr:to>
      <xdr:col>16</xdr:col>
      <xdr:colOff>0</xdr:colOff>
      <xdr:row>6</xdr:row>
      <xdr:rowOff>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3" t="30437" r="52479" b="28170"/>
        <a:stretch/>
      </xdr:blipFill>
      <xdr:spPr>
        <a:xfrm>
          <a:off x="9972276683" y="1887682"/>
          <a:ext cx="4104408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51955</xdr:colOff>
      <xdr:row>3</xdr:row>
      <xdr:rowOff>34637</xdr:rowOff>
    </xdr:from>
    <xdr:to>
      <xdr:col>4</xdr:col>
      <xdr:colOff>9525</xdr:colOff>
      <xdr:row>6</xdr:row>
      <xdr:rowOff>34636</xdr:rowOff>
    </xdr:to>
    <xdr:pic>
      <xdr:nvPicPr>
        <xdr:cNvPr id="58" name="Picture 5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" t="37497" r="54309" b="33637"/>
        <a:stretch/>
      </xdr:blipFill>
      <xdr:spPr>
        <a:xfrm>
          <a:off x="9985559727" y="1887682"/>
          <a:ext cx="4069773" cy="2130136"/>
        </a:xfrm>
        <a:prstGeom prst="rect">
          <a:avLst/>
        </a:prstGeom>
      </xdr:spPr>
    </xdr:pic>
    <xdr:clientData/>
  </xdr:twoCellAnchor>
  <xdr:twoCellAnchor editAs="oneCell">
    <xdr:from>
      <xdr:col>8</xdr:col>
      <xdr:colOff>297656</xdr:colOff>
      <xdr:row>7</xdr:row>
      <xdr:rowOff>11906</xdr:rowOff>
    </xdr:from>
    <xdr:to>
      <xdr:col>12</xdr:col>
      <xdr:colOff>19050</xdr:colOff>
      <xdr:row>10</xdr:row>
      <xdr:rowOff>35718</xdr:rowOff>
    </xdr:to>
    <xdr:pic>
      <xdr:nvPicPr>
        <xdr:cNvPr id="7" name="Picture 6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1" t="29127" r="50255" b="33528"/>
        <a:stretch/>
      </xdr:blipFill>
      <xdr:spPr>
        <a:xfrm>
          <a:off x="9997576923" y="4208859"/>
          <a:ext cx="4107655" cy="2095500"/>
        </a:xfrm>
        <a:prstGeom prst="rect">
          <a:avLst/>
        </a:prstGeom>
      </xdr:spPr>
    </xdr:pic>
    <xdr:clientData/>
  </xdr:twoCellAnchor>
  <xdr:twoCellAnchor editAs="oneCell">
    <xdr:from>
      <xdr:col>57</xdr:col>
      <xdr:colOff>1039092</xdr:colOff>
      <xdr:row>3</xdr:row>
      <xdr:rowOff>190501</xdr:rowOff>
    </xdr:from>
    <xdr:to>
      <xdr:col>65</xdr:col>
      <xdr:colOff>371475</xdr:colOff>
      <xdr:row>12</xdr:row>
      <xdr:rowOff>152400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42" t="12238" r="25896" b="17273"/>
        <a:stretch/>
      </xdr:blipFill>
      <xdr:spPr>
        <a:xfrm>
          <a:off x="9892197408" y="2043546"/>
          <a:ext cx="12503727" cy="5417128"/>
        </a:xfrm>
        <a:prstGeom prst="rect">
          <a:avLst/>
        </a:prstGeom>
      </xdr:spPr>
    </xdr:pic>
    <xdr:clientData/>
  </xdr:twoCellAnchor>
  <xdr:twoCellAnchor editAs="oneCell">
    <xdr:from>
      <xdr:col>46</xdr:col>
      <xdr:colOff>952500</xdr:colOff>
      <xdr:row>2</xdr:row>
      <xdr:rowOff>619125</xdr:rowOff>
    </xdr:from>
    <xdr:to>
      <xdr:col>54</xdr:col>
      <xdr:colOff>95250</xdr:colOff>
      <xdr:row>12</xdr:row>
      <xdr:rowOff>238124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43" t="4735" r="8556" b="52888"/>
        <a:stretch/>
      </xdr:blipFill>
      <xdr:spPr>
        <a:xfrm>
          <a:off x="10122479436" y="1762125"/>
          <a:ext cx="12239626" cy="5786437"/>
        </a:xfrm>
        <a:prstGeom prst="rect">
          <a:avLst/>
        </a:prstGeom>
      </xdr:spPr>
    </xdr:pic>
    <xdr:clientData/>
  </xdr:twoCellAnchor>
  <xdr:twoCellAnchor editAs="oneCell">
    <xdr:from>
      <xdr:col>20</xdr:col>
      <xdr:colOff>1447800</xdr:colOff>
      <xdr:row>23</xdr:row>
      <xdr:rowOff>266699</xdr:rowOff>
    </xdr:from>
    <xdr:to>
      <xdr:col>28</xdr:col>
      <xdr:colOff>609600</xdr:colOff>
      <xdr:row>34</xdr:row>
      <xdr:rowOff>76200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6" t="9539" r="5752" b="14651"/>
        <a:stretch/>
      </xdr:blipFill>
      <xdr:spPr>
        <a:xfrm flipH="1">
          <a:off x="10012946700" y="13258799"/>
          <a:ext cx="12573000" cy="5295901"/>
        </a:xfrm>
        <a:prstGeom prst="rect">
          <a:avLst/>
        </a:prstGeom>
      </xdr:spPr>
    </xdr:pic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 flipH="1">
          <a:off x="10183409505" y="14232396"/>
          <a:ext cx="1013731" cy="210366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5862594" y="21935452"/>
          <a:ext cx="4878120" cy="1599504"/>
        </a:xfrm>
        <a:prstGeom prst="rect">
          <a:avLst/>
        </a:prstGeom>
      </xdr:spPr>
    </xdr:pic>
    <xdr:clientData/>
  </xdr:twoCellAnchor>
  <xdr:twoCellAnchor editAs="oneCell">
    <xdr:from>
      <xdr:col>20</xdr:col>
      <xdr:colOff>600403</xdr:colOff>
      <xdr:row>45</xdr:row>
      <xdr:rowOff>1</xdr:rowOff>
    </xdr:from>
    <xdr:to>
      <xdr:col>27</xdr:col>
      <xdr:colOff>295275</xdr:colOff>
      <xdr:row>55</xdr:row>
      <xdr:rowOff>400050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18" r="-616" b="13195"/>
        <a:stretch/>
      </xdr:blipFill>
      <xdr:spPr>
        <a:xfrm>
          <a:off x="10169875848" y="23764876"/>
          <a:ext cx="11701124" cy="5786438"/>
        </a:xfrm>
        <a:prstGeom prst="rect">
          <a:avLst/>
        </a:prstGeom>
      </xdr:spPr>
    </xdr:pic>
    <xdr:clientData/>
  </xdr:twoCellAnchor>
  <xdr:twoCellAnchor>
    <xdr:from>
      <xdr:col>20</xdr:col>
      <xdr:colOff>714374</xdr:colOff>
      <xdr:row>55</xdr:row>
      <xdr:rowOff>404815</xdr:rowOff>
    </xdr:from>
    <xdr:to>
      <xdr:col>26</xdr:col>
      <xdr:colOff>1214436</xdr:colOff>
      <xdr:row>57</xdr:row>
      <xdr:rowOff>285753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H="1">
          <a:off x="10170723564" y="29170315"/>
          <a:ext cx="10739437" cy="88106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1738307</xdr:colOff>
      <xdr:row>54</xdr:row>
      <xdr:rowOff>-1</xdr:rowOff>
    </xdr:from>
    <xdr:to>
      <xdr:col>27</xdr:col>
      <xdr:colOff>619125</xdr:colOff>
      <xdr:row>56</xdr:row>
      <xdr:rowOff>404808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10169556750" y="28265437"/>
          <a:ext cx="642943" cy="140493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 flipH="1">
          <a:off x="9405979006" y="23852645"/>
          <a:ext cx="966106" cy="20560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0181504" y="21346634"/>
          <a:ext cx="4843483" cy="1530231"/>
        </a:xfrm>
        <a:prstGeom prst="rect">
          <a:avLst/>
        </a:prstGeom>
      </xdr:spPr>
    </xdr:pic>
    <xdr:clientData/>
  </xdr:oneCellAnchor>
  <xdr:oneCellAnchor>
    <xdr:from>
      <xdr:col>20</xdr:col>
      <xdr:colOff>277093</xdr:colOff>
      <xdr:row>61</xdr:row>
      <xdr:rowOff>194414</xdr:rowOff>
    </xdr:from>
    <xdr:ext cx="12018817" cy="7318670"/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60" b="3448"/>
        <a:stretch/>
      </xdr:blipFill>
      <xdr:spPr>
        <a:xfrm>
          <a:off x="9958179681" y="32111823"/>
          <a:ext cx="12018817" cy="7318670"/>
        </a:xfrm>
        <a:prstGeom prst="rect">
          <a:avLst/>
        </a:prstGeom>
      </xdr:spPr>
    </xdr:pic>
    <xdr:clientData/>
  </xdr:oneCellAnchor>
  <xdr:twoCellAnchor>
    <xdr:from>
      <xdr:col>20</xdr:col>
      <xdr:colOff>744682</xdr:colOff>
      <xdr:row>71</xdr:row>
      <xdr:rowOff>294409</xdr:rowOff>
    </xdr:from>
    <xdr:to>
      <xdr:col>26</xdr:col>
      <xdr:colOff>865909</xdr:colOff>
      <xdr:row>75</xdr:row>
      <xdr:rowOff>415636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H="1">
          <a:off x="9959409273" y="37407273"/>
          <a:ext cx="10321636" cy="216477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1288034</xdr:colOff>
      <xdr:row>71</xdr:row>
      <xdr:rowOff>51955</xdr:rowOff>
    </xdr:from>
    <xdr:to>
      <xdr:col>27</xdr:col>
      <xdr:colOff>17319</xdr:colOff>
      <xdr:row>75</xdr:row>
      <xdr:rowOff>108669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958508727" y="37164819"/>
          <a:ext cx="478421" cy="210025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121230</xdr:colOff>
      <xdr:row>62</xdr:row>
      <xdr:rowOff>86590</xdr:rowOff>
    </xdr:from>
    <xdr:ext cx="5549589" cy="5171210"/>
    <xdr:pic>
      <xdr:nvPicPr>
        <xdr:cNvPr id="76" name="Picture 7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086967" y="33274411"/>
          <a:ext cx="5549589" cy="5171210"/>
        </a:xfrm>
        <a:prstGeom prst="rect">
          <a:avLst/>
        </a:prstGeom>
      </xdr:spPr>
    </xdr:pic>
    <xdr:clientData/>
  </xdr:oneCellAnchor>
  <xdr:oneCellAnchor>
    <xdr:from>
      <xdr:col>50</xdr:col>
      <xdr:colOff>921906</xdr:colOff>
      <xdr:row>20</xdr:row>
      <xdr:rowOff>169974</xdr:rowOff>
    </xdr:from>
    <xdr:ext cx="5382924" cy="1531166"/>
    <xdr:pic>
      <xdr:nvPicPr>
        <xdr:cNvPr id="79" name="Picture 7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989670" y="116761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 flipH="1">
          <a:off x="10133610595" y="59751"/>
          <a:ext cx="11361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46</xdr:col>
      <xdr:colOff>1452562</xdr:colOff>
      <xdr:row>25</xdr:row>
      <xdr:rowOff>309562</xdr:rowOff>
    </xdr:from>
    <xdr:to>
      <xdr:col>52</xdr:col>
      <xdr:colOff>657225</xdr:colOff>
      <xdr:row>35</xdr:row>
      <xdr:rowOff>95249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" t="18915" r="4534" b="14643"/>
        <a:stretch/>
      </xdr:blipFill>
      <xdr:spPr>
        <a:xfrm>
          <a:off x="10127765812" y="14287500"/>
          <a:ext cx="8929688" cy="4833937"/>
        </a:xfrm>
        <a:prstGeom prst="rect">
          <a:avLst/>
        </a:prstGeom>
      </xdr:spPr>
    </xdr:pic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 flipH="1">
          <a:off x="10128408750" y="14001750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428625</xdr:colOff>
      <xdr:row>34</xdr:row>
      <xdr:rowOff>214312</xdr:rowOff>
    </xdr:from>
    <xdr:to>
      <xdr:col>52</xdr:col>
      <xdr:colOff>404812</xdr:colOff>
      <xdr:row>34</xdr:row>
      <xdr:rowOff>452437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V="1">
          <a:off x="10128027750" y="18716625"/>
          <a:ext cx="1595437" cy="23812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1194968</xdr:colOff>
      <xdr:row>62</xdr:row>
      <xdr:rowOff>121227</xdr:rowOff>
    </xdr:from>
    <xdr:ext cx="6501232" cy="5136573"/>
    <xdr:pic>
      <xdr:nvPicPr>
        <xdr:cNvPr id="74" name="Picture 73">
          <a:hlinkClick xmlns:r="http://schemas.openxmlformats.org/officeDocument/2006/relationships" r:id="rId35"/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53" t="73621" r="2135"/>
        <a:stretch/>
      </xdr:blipFill>
      <xdr:spPr>
        <a:xfrm>
          <a:off x="10078639264" y="33309048"/>
          <a:ext cx="6501232" cy="5136573"/>
        </a:xfrm>
        <a:prstGeom prst="rect">
          <a:avLst/>
        </a:prstGeom>
      </xdr:spPr>
    </xdr:pic>
    <xdr:clientData/>
  </xdr:oneCellAnchor>
  <xdr:oneCellAnchor>
    <xdr:from>
      <xdr:col>0</xdr:col>
      <xdr:colOff>86592</xdr:colOff>
      <xdr:row>62</xdr:row>
      <xdr:rowOff>121226</xdr:rowOff>
    </xdr:from>
    <xdr:ext cx="6083537" cy="5136573"/>
    <xdr:pic>
      <xdr:nvPicPr>
        <xdr:cNvPr id="75" name="Picture 74">
          <a:hlinkClick xmlns:r="http://schemas.openxmlformats.org/officeDocument/2006/relationships" r:id="rId37"/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415" t="28869" r="-368" b="42305"/>
        <a:stretch/>
      </xdr:blipFill>
      <xdr:spPr>
        <a:xfrm>
          <a:off x="10090697264" y="33309047"/>
          <a:ext cx="6083537" cy="5136573"/>
        </a:xfrm>
        <a:prstGeom prst="rect">
          <a:avLst/>
        </a:prstGeom>
      </xdr:spPr>
    </xdr:pic>
    <xdr:clientData/>
  </xdr:oneCellAnchor>
  <xdr:oneCellAnchor>
    <xdr:from>
      <xdr:col>6</xdr:col>
      <xdr:colOff>166689</xdr:colOff>
      <xdr:row>81</xdr:row>
      <xdr:rowOff>86590</xdr:rowOff>
    </xdr:from>
    <xdr:ext cx="5381625" cy="5323610"/>
    <xdr:pic>
      <xdr:nvPicPr>
        <xdr:cNvPr id="80" name="Picture 7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6298186" y="42163278"/>
          <a:ext cx="5381625" cy="5323610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81</xdr:row>
      <xdr:rowOff>351849</xdr:rowOff>
    </xdr:from>
    <xdr:ext cx="6264034" cy="4820800"/>
    <xdr:pic>
      <xdr:nvPicPr>
        <xdr:cNvPr id="83" name="Picture 82">
          <a:hlinkClick xmlns:r="http://schemas.openxmlformats.org/officeDocument/2006/relationships" r:id="rId39"/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516768" y="42588420"/>
          <a:ext cx="6264034" cy="48208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oneCellAnchor>
    <xdr:from>
      <xdr:col>10</xdr:col>
      <xdr:colOff>1042568</xdr:colOff>
      <xdr:row>81</xdr:row>
      <xdr:rowOff>331125</xdr:rowOff>
    </xdr:from>
    <xdr:ext cx="6348833" cy="4886061"/>
    <xdr:pic>
      <xdr:nvPicPr>
        <xdr:cNvPr id="85" name="Picture 84">
          <a:hlinkClick xmlns:r="http://schemas.openxmlformats.org/officeDocument/2006/relationships" r:id="rId41"/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8944063" y="42567696"/>
          <a:ext cx="6348833" cy="4886061"/>
        </a:xfrm>
        <a:prstGeom prst="rect">
          <a:avLst/>
        </a:prstGeom>
      </xdr:spPr>
    </xdr:pic>
    <xdr:clientData/>
  </xdr:oneCellAnchor>
  <xdr:oneCellAnchor>
    <xdr:from>
      <xdr:col>61</xdr:col>
      <xdr:colOff>921906</xdr:colOff>
      <xdr:row>20</xdr:row>
      <xdr:rowOff>169974</xdr:rowOff>
    </xdr:from>
    <xdr:ext cx="5382924" cy="1531166"/>
    <xdr:pic>
      <xdr:nvPicPr>
        <xdr:cNvPr id="87" name="Picture 8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00717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 flipH="1">
          <a:off x="935634678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57</xdr:col>
      <xdr:colOff>1119187</xdr:colOff>
      <xdr:row>24</xdr:row>
      <xdr:rowOff>261937</xdr:rowOff>
    </xdr:from>
    <xdr:ext cx="11430000" cy="6660217"/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34" r="1008" b="12516"/>
        <a:stretch/>
      </xdr:blipFill>
      <xdr:spPr>
        <a:xfrm>
          <a:off x="10105120125" y="13739812"/>
          <a:ext cx="11430000" cy="6660217"/>
        </a:xfrm>
        <a:prstGeom prst="rect">
          <a:avLst/>
        </a:prstGeom>
      </xdr:spPr>
    </xdr:pic>
    <xdr:clientData/>
  </xdr:one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H="1" flipV="1">
          <a:off x="10105358250" y="13454064"/>
          <a:ext cx="11049001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V="1">
          <a:off x="10105382062" y="20050125"/>
          <a:ext cx="1952625" cy="38100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921906</xdr:colOff>
      <xdr:row>40</xdr:row>
      <xdr:rowOff>169974</xdr:rowOff>
    </xdr:from>
    <xdr:ext cx="5382924" cy="1531166"/>
    <xdr:pic>
      <xdr:nvPicPr>
        <xdr:cNvPr id="77" name="Picture 7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800717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 flipH="1">
          <a:off x="935634678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46</xdr:col>
      <xdr:colOff>214312</xdr:colOff>
      <xdr:row>44</xdr:row>
      <xdr:rowOff>357187</xdr:rowOff>
    </xdr:from>
    <xdr:ext cx="11858625" cy="6286847"/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3266" r="-252" b="7667"/>
        <a:stretch/>
      </xdr:blipFill>
      <xdr:spPr>
        <a:xfrm>
          <a:off x="10126075125" y="23955375"/>
          <a:ext cx="11858625" cy="6286847"/>
        </a:xfrm>
        <a:prstGeom prst="rect">
          <a:avLst/>
        </a:prstGeom>
      </xdr:spPr>
    </xdr:pic>
    <xdr:clientData/>
  </xdr:one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H="1" flipV="1">
          <a:off x="10131956812" y="24645937"/>
          <a:ext cx="23814" cy="49291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V="1">
          <a:off x="10127622937" y="24312562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921906</xdr:colOff>
      <xdr:row>40</xdr:row>
      <xdr:rowOff>169974</xdr:rowOff>
    </xdr:from>
    <xdr:ext cx="5382924" cy="1531166"/>
    <xdr:pic>
      <xdr:nvPicPr>
        <xdr:cNvPr id="92" name="Picture 9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7528420" y="11218974"/>
          <a:ext cx="5382924" cy="153116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 flipH="1">
          <a:off x="9335868033" y="11013501"/>
          <a:ext cx="9456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57</xdr:col>
      <xdr:colOff>404810</xdr:colOff>
      <xdr:row>46</xdr:row>
      <xdr:rowOff>23811</xdr:rowOff>
    </xdr:from>
    <xdr:ext cx="11941968" cy="5619751"/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6" t="30206" r="3777" b="12184"/>
        <a:stretch/>
      </xdr:blipFill>
      <xdr:spPr>
        <a:xfrm>
          <a:off x="10105322534" y="24669749"/>
          <a:ext cx="11941968" cy="5619751"/>
        </a:xfrm>
        <a:prstGeom prst="rect">
          <a:avLst/>
        </a:prstGeom>
      </xdr:spPr>
    </xdr:pic>
    <xdr:clientData/>
  </xdr:one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V="1">
          <a:off x="10111359001" y="24598312"/>
          <a:ext cx="95249" cy="469106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V="1">
          <a:off x="10106310750" y="24336375"/>
          <a:ext cx="4548187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190499</xdr:colOff>
      <xdr:row>7</xdr:row>
      <xdr:rowOff>156793</xdr:rowOff>
    </xdr:from>
    <xdr:to>
      <xdr:col>7</xdr:col>
      <xdr:colOff>1104900</xdr:colOff>
      <xdr:row>9</xdr:row>
      <xdr:rowOff>585108</xdr:rowOff>
    </xdr:to>
    <xdr:pic>
      <xdr:nvPicPr>
        <xdr:cNvPr id="34" name="Picture 33">
          <a:hlinkClick xmlns:r="http://schemas.openxmlformats.org/officeDocument/2006/relationships" r:id="rId46"/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9969" r="881" b="13860"/>
        <a:stretch/>
      </xdr:blipFill>
      <xdr:spPr>
        <a:xfrm>
          <a:off x="10088259784" y="4375007"/>
          <a:ext cx="3681824" cy="1843458"/>
        </a:xfrm>
        <a:prstGeom prst="rect">
          <a:avLst/>
        </a:prstGeom>
      </xdr:spPr>
    </xdr:pic>
    <xdr:clientData/>
  </xdr:twoCellAnchor>
  <xdr:oneCellAnchor>
    <xdr:from>
      <xdr:col>6</xdr:col>
      <xdr:colOff>166689</xdr:colOff>
      <xdr:row>100</xdr:row>
      <xdr:rowOff>86590</xdr:rowOff>
    </xdr:from>
    <xdr:ext cx="5381625" cy="5323610"/>
    <xdr:pic>
      <xdr:nvPicPr>
        <xdr:cNvPr id="100" name="Picture 9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078786" y="42529990"/>
          <a:ext cx="5381625" cy="5323610"/>
        </a:xfrm>
        <a:prstGeom prst="rect">
          <a:avLst/>
        </a:prstGeom>
      </xdr:spPr>
    </xdr:pic>
    <xdr:clientData/>
  </xdr:oneCellAnchor>
  <xdr:oneCellAnchor>
    <xdr:from>
      <xdr:col>0</xdr:col>
      <xdr:colOff>86591</xdr:colOff>
      <xdr:row>100</xdr:row>
      <xdr:rowOff>360094</xdr:rowOff>
    </xdr:from>
    <xdr:ext cx="6199908" cy="4770976"/>
    <xdr:pic>
      <xdr:nvPicPr>
        <xdr:cNvPr id="101" name="Picture 100">
          <a:hlinkClick xmlns:r="http://schemas.openxmlformats.org/officeDocument/2006/relationships" r:id="rId48"/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580894" y="51903951"/>
          <a:ext cx="6199908" cy="477097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  <xdr:oneCellAnchor>
    <xdr:from>
      <xdr:col>10</xdr:col>
      <xdr:colOff>1279180</xdr:colOff>
      <xdr:row>100</xdr:row>
      <xdr:rowOff>393342</xdr:rowOff>
    </xdr:from>
    <xdr:ext cx="6469919" cy="4978757"/>
    <xdr:pic>
      <xdr:nvPicPr>
        <xdr:cNvPr id="102" name="Picture 101">
          <a:hlinkClick xmlns:r="http://schemas.openxmlformats.org/officeDocument/2006/relationships" r:id="rId50"/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8586365" y="51937199"/>
          <a:ext cx="6469919" cy="49787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5908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8384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0861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3337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5814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829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0767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3148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025315" y="58104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397634" y="581519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3025315" y="6090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3020736" y="63515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3020736" y="65900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3020735" y="68194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020736" y="707163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020736" y="73147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3020735" y="75669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3025315" y="781916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3025315" y="8057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3020736" y="831446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3025315" y="855753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3020736" y="882350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3020735" y="90528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 bwMode="auto">
        <a:xfrm>
          <a:off x="3025315" y="9323379"/>
          <a:ext cx="219075" cy="15466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6402214" y="606742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397634" y="6319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6393055" y="65810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591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82917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50673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 bwMode="auto">
        <a:xfrm>
          <a:off x="6393055" y="68286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 bwMode="auto">
        <a:xfrm>
          <a:off x="6393055" y="70763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 bwMode="auto">
        <a:xfrm>
          <a:off x="6393055" y="73239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 bwMode="auto">
        <a:xfrm>
          <a:off x="6393055" y="75716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 bwMode="auto">
        <a:xfrm>
          <a:off x="6393055" y="78192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 bwMode="auto">
        <a:xfrm>
          <a:off x="6393055" y="80669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 bwMode="auto">
        <a:xfrm>
          <a:off x="6393055" y="83145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 bwMode="auto">
        <a:xfrm>
          <a:off x="6393055" y="85622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 bwMode="auto">
        <a:xfrm>
          <a:off x="6393055" y="88098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 bwMode="auto">
        <a:xfrm>
          <a:off x="6393055" y="90575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 bwMode="auto">
        <a:xfrm>
          <a:off x="6393055" y="9305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5908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28384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0861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3337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5814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3829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0767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3148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3025315" y="58104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6397634" y="581519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3025315" y="6090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3020736" y="63515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>
          <a:spLocks noChangeArrowheads="1"/>
        </xdr:cNvSpPr>
      </xdr:nvSpPr>
      <xdr:spPr bwMode="auto">
        <a:xfrm>
          <a:off x="3020736" y="65900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>
          <a:spLocks noChangeArrowheads="1"/>
        </xdr:cNvSpPr>
      </xdr:nvSpPr>
      <xdr:spPr bwMode="auto">
        <a:xfrm>
          <a:off x="3020735" y="68194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3020736" y="707163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3020736" y="731470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3020735" y="75669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3025315" y="781916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3025315" y="8057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3020736" y="831446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3025315" y="855753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3020736" y="882350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3020735" y="905283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>
          <a:spLocks noChangeArrowheads="1"/>
        </xdr:cNvSpPr>
      </xdr:nvSpPr>
      <xdr:spPr bwMode="auto">
        <a:xfrm>
          <a:off x="3025315" y="9323379"/>
          <a:ext cx="219075" cy="15466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6402214" y="606742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6397634" y="63196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>
          <a:spLocks noChangeArrowheads="1"/>
        </xdr:cNvSpPr>
      </xdr:nvSpPr>
      <xdr:spPr bwMode="auto">
        <a:xfrm>
          <a:off x="6393055" y="65810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5910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482917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00600" y="50673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>
          <a:spLocks noChangeArrowheads="1"/>
        </xdr:cNvSpPr>
      </xdr:nvSpPr>
      <xdr:spPr bwMode="auto">
        <a:xfrm>
          <a:off x="6393055" y="68286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6393055" y="70763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6393055" y="73239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>
          <a:spLocks noChangeArrowheads="1"/>
        </xdr:cNvSpPr>
      </xdr:nvSpPr>
      <xdr:spPr bwMode="auto">
        <a:xfrm>
          <a:off x="6393055" y="75716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6393055" y="78192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6393055" y="80669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>
          <a:spLocks noChangeArrowheads="1"/>
        </xdr:cNvSpPr>
      </xdr:nvSpPr>
      <xdr:spPr bwMode="auto">
        <a:xfrm>
          <a:off x="6393055" y="83145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>
          <a:spLocks noChangeArrowheads="1"/>
        </xdr:cNvSpPr>
      </xdr:nvSpPr>
      <xdr:spPr bwMode="auto">
        <a:xfrm>
          <a:off x="6393055" y="85622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>
          <a:spLocks noChangeArrowheads="1"/>
        </xdr:cNvSpPr>
      </xdr:nvSpPr>
      <xdr:spPr bwMode="auto">
        <a:xfrm>
          <a:off x="6393055" y="88098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>
          <a:spLocks noChangeArrowheads="1"/>
        </xdr:cNvSpPr>
      </xdr:nvSpPr>
      <xdr:spPr bwMode="auto">
        <a:xfrm>
          <a:off x="6393055" y="905754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>
          <a:spLocks noChangeArrowheads="1"/>
        </xdr:cNvSpPr>
      </xdr:nvSpPr>
      <xdr:spPr bwMode="auto">
        <a:xfrm>
          <a:off x="6393055" y="930519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262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2879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133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387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641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389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149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39420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>
          <a:spLocks noChangeArrowheads="1"/>
        </xdr:cNvSpPr>
      </xdr:nvSpPr>
      <xdr:spPr bwMode="auto">
        <a:xfrm>
          <a:off x="3161840" y="59279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>
          <a:spLocks noChangeArrowheads="1"/>
        </xdr:cNvSpPr>
      </xdr:nvSpPr>
      <xdr:spPr bwMode="auto">
        <a:xfrm>
          <a:off x="6696084" y="59326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>
          <a:spLocks noChangeArrowheads="1"/>
        </xdr:cNvSpPr>
      </xdr:nvSpPr>
      <xdr:spPr bwMode="auto">
        <a:xfrm>
          <a:off x="3161840" y="621401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25</xdr:row>
      <xdr:rowOff>246054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>
          <a:spLocks noChangeArrowheads="1"/>
        </xdr:cNvSpPr>
      </xdr:nvSpPr>
      <xdr:spPr bwMode="auto">
        <a:xfrm>
          <a:off x="3157261" y="648175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>
          <a:spLocks noChangeArrowheads="1"/>
        </xdr:cNvSpPr>
      </xdr:nvSpPr>
      <xdr:spPr bwMode="auto">
        <a:xfrm>
          <a:off x="3157261" y="67265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>
          <a:spLocks noChangeArrowheads="1"/>
        </xdr:cNvSpPr>
      </xdr:nvSpPr>
      <xdr:spPr bwMode="auto">
        <a:xfrm>
          <a:off x="3157260" y="6962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>
          <a:spLocks noChangeArrowheads="1"/>
        </xdr:cNvSpPr>
      </xdr:nvSpPr>
      <xdr:spPr bwMode="auto">
        <a:xfrm>
          <a:off x="3157261" y="722085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>
          <a:spLocks noChangeArrowheads="1"/>
        </xdr:cNvSpPr>
      </xdr:nvSpPr>
      <xdr:spPr bwMode="auto">
        <a:xfrm>
          <a:off x="3157261" y="7470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>
          <a:spLocks noChangeArrowheads="1"/>
        </xdr:cNvSpPr>
      </xdr:nvSpPr>
      <xdr:spPr bwMode="auto">
        <a:xfrm>
          <a:off x="3157260" y="77288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>
          <a:spLocks noChangeArrowheads="1"/>
        </xdr:cNvSpPr>
      </xdr:nvSpPr>
      <xdr:spPr bwMode="auto">
        <a:xfrm>
          <a:off x="3161840" y="798743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>
          <a:spLocks noChangeArrowheads="1"/>
        </xdr:cNvSpPr>
      </xdr:nvSpPr>
      <xdr:spPr bwMode="auto">
        <a:xfrm>
          <a:off x="3161840" y="823227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>
          <a:spLocks noChangeArrowheads="1"/>
        </xdr:cNvSpPr>
      </xdr:nvSpPr>
      <xdr:spPr bwMode="auto">
        <a:xfrm>
          <a:off x="3157261" y="84954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>
          <a:spLocks noChangeArrowheads="1"/>
        </xdr:cNvSpPr>
      </xdr:nvSpPr>
      <xdr:spPr bwMode="auto">
        <a:xfrm>
          <a:off x="3161840" y="874485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>
          <a:spLocks noChangeArrowheads="1"/>
        </xdr:cNvSpPr>
      </xdr:nvSpPr>
      <xdr:spPr bwMode="auto">
        <a:xfrm>
          <a:off x="3157261" y="9017175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>
          <a:spLocks noChangeArrowheads="1"/>
        </xdr:cNvSpPr>
      </xdr:nvSpPr>
      <xdr:spPr bwMode="auto">
        <a:xfrm>
          <a:off x="3157260" y="92528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>
          <a:spLocks noChangeArrowheads="1"/>
        </xdr:cNvSpPr>
      </xdr:nvSpPr>
      <xdr:spPr bwMode="auto">
        <a:xfrm>
          <a:off x="3161840" y="9529754"/>
          <a:ext cx="219075" cy="161018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>
          <a:spLocks noChangeArrowheads="1"/>
        </xdr:cNvSpPr>
      </xdr:nvSpPr>
      <xdr:spPr bwMode="auto">
        <a:xfrm>
          <a:off x="6700664" y="619125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>
          <a:spLocks noChangeArrowheads="1"/>
        </xdr:cNvSpPr>
      </xdr:nvSpPr>
      <xdr:spPr bwMode="auto">
        <a:xfrm>
          <a:off x="6696084" y="644982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>
          <a:spLocks noChangeArrowheads="1"/>
        </xdr:cNvSpPr>
      </xdr:nvSpPr>
      <xdr:spPr bwMode="auto">
        <a:xfrm>
          <a:off x="6691505" y="671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676775"/>
          <a:ext cx="361950" cy="20637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4921250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51657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>
          <a:spLocks noChangeArrowheads="1"/>
        </xdr:cNvSpPr>
      </xdr:nvSpPr>
      <xdr:spPr bwMode="auto">
        <a:xfrm>
          <a:off x="6691505" y="697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>
          <a:spLocks noChangeArrowheads="1"/>
        </xdr:cNvSpPr>
      </xdr:nvSpPr>
      <xdr:spPr bwMode="auto">
        <a:xfrm>
          <a:off x="6691505" y="7225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600-00004B000000}"/>
            </a:ext>
          </a:extLst>
        </xdr:cNvPr>
        <xdr:cNvSpPr>
          <a:spLocks noChangeArrowheads="1"/>
        </xdr:cNvSpPr>
      </xdr:nvSpPr>
      <xdr:spPr bwMode="auto">
        <a:xfrm>
          <a:off x="6691505" y="7479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600-00004C000000}"/>
            </a:ext>
          </a:extLst>
        </xdr:cNvPr>
        <xdr:cNvSpPr>
          <a:spLocks noChangeArrowheads="1"/>
        </xdr:cNvSpPr>
      </xdr:nvSpPr>
      <xdr:spPr bwMode="auto">
        <a:xfrm>
          <a:off x="6691505" y="7733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600-00004D000000}"/>
            </a:ext>
          </a:extLst>
        </xdr:cNvPr>
        <xdr:cNvSpPr>
          <a:spLocks noChangeArrowheads="1"/>
        </xdr:cNvSpPr>
      </xdr:nvSpPr>
      <xdr:spPr bwMode="auto">
        <a:xfrm>
          <a:off x="6691505" y="798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600-00004E000000}"/>
            </a:ext>
          </a:extLst>
        </xdr:cNvPr>
        <xdr:cNvSpPr>
          <a:spLocks noChangeArrowheads="1"/>
        </xdr:cNvSpPr>
      </xdr:nvSpPr>
      <xdr:spPr bwMode="auto">
        <a:xfrm>
          <a:off x="6691505" y="824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600-00004F000000}"/>
            </a:ext>
          </a:extLst>
        </xdr:cNvPr>
        <xdr:cNvSpPr>
          <a:spLocks noChangeArrowheads="1"/>
        </xdr:cNvSpPr>
      </xdr:nvSpPr>
      <xdr:spPr bwMode="auto">
        <a:xfrm>
          <a:off x="6691505" y="8495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600-000050000000}"/>
            </a:ext>
          </a:extLst>
        </xdr:cNvPr>
        <xdr:cNvSpPr>
          <a:spLocks noChangeArrowheads="1"/>
        </xdr:cNvSpPr>
      </xdr:nvSpPr>
      <xdr:spPr bwMode="auto">
        <a:xfrm>
          <a:off x="6691505" y="8749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>
          <a:spLocks noChangeArrowheads="1"/>
        </xdr:cNvSpPr>
      </xdr:nvSpPr>
      <xdr:spPr bwMode="auto">
        <a:xfrm>
          <a:off x="6691505" y="9003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>
          <a:spLocks noChangeArrowheads="1"/>
        </xdr:cNvSpPr>
      </xdr:nvSpPr>
      <xdr:spPr bwMode="auto">
        <a:xfrm>
          <a:off x="6691505" y="9257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>
          <a:spLocks noChangeArrowheads="1"/>
        </xdr:cNvSpPr>
      </xdr:nvSpPr>
      <xdr:spPr bwMode="auto">
        <a:xfrm>
          <a:off x="6691505" y="95115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8" totalsRowShown="0" headerRowDxfId="124" dataDxfId="51">
  <autoFilter ref="V4:Y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(Table1[[#Totals],[المسطح]]+Table14[[#Totals],[Column12]]+Table16[[#Totals],[Column12]]+1)*Table6[[#This Row],[المعدل]]</calculatedColumn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89" name="Table1588090" displayName="Table1588090" ref="BG5:BR11" totalsRowCount="1" headerRowDxfId="41" dataDxfId="41">
  <autoFilter ref="BG5:BR10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(Table1588090[[#This Row],[Column1]]+Table1588090[[#This Row],[Column2]])*12*Table1588090[[#This Row],[عدد]]</calculatedColumnFormula>
    </tableColumn>
    <tableColumn id="4" name="الوحده" dataDxfId="21" totalsRowDxfId="21"/>
    <tableColumn id="5" name="الوزن" totalsRowFunction="custom" dataDxfId="21" totalsRowDxfId="21">
      <totalsRowFormula>(BN6*BH6)+(BN7*BG7)+(BN8*BG8)+(BN9*BG9)</totalsRowFormula>
    </tableColumn>
    <tableColumn id="6" name="اجمالي المسطح" totalsRowFunction="sum" dataDxfId="22" totalsRowDxfId="21">
      <calculatedColumnFormula>Table1588090[[#This Row],[المسطح]]*Table1588090[[#This Row],[عدد]]</calculatedColumnFormula>
    </tableColumn>
    <tableColumn id="7" name="سعر الشبك " dataDxfId="20" totalsRowDxfId="19">
      <calculatedColumnFormula>BN6*$S$2/1000</calculatedColumnFormula>
    </tableColumn>
    <tableColumn id="8" name="اجمالي" totalsRowFunction="sum" dataDxfId="17" totalsRowDxfId="17">
      <calculatedColumnFormula>BH6*BP6</calculatedColumnFormula>
    </tableColumn>
    <tableColumn id="9" name="%" totalsRowFunction="custom" dataDxfId="16" totalsRowDxfId="15" dataCellStyle="Percent">
      <calculatedColumnFormula>(BQ6)/$R$71</calculatedColumnFormula>
      <totalsRowFormula>Table1588090[[#Totals],[اجمالي]]/$R$71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90" name="Table8091" displayName="Table8091" ref="AV2:BA14" totalsRowCount="1" headerRowDxfId="14" dataDxfId="1" totalsRowDxfId="12">
  <autoFilter ref="AV2:BA13"/>
  <tableColumns count="6">
    <tableColumn id="1" name="Column1" totalsRowLabel="Total" dataDxfId="1" totalsRowDxfId="10"/>
    <tableColumn id="2" name="عدد" totalsRowFunction="custom" dataDxfId="1" totalsRowDxfId="8">
      <totalsRowFormula>(Table8091[[#Totals],[price]]*1.1)/(BA1*AY1/10000)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id="102" name="Table13597192103" displayName="Table13597192103" ref="BG101:BR120" totalsRowCount="1" headerRowDxfId="49" dataDxfId="49" totalsRowDxfId="49">
  <autoFilter ref="BG101:BR119"/>
  <tableColumns count="12">
    <tableColumn id="1" name="م" totalsRowLabel="Total" dataDxfId="21" totalsRowDxfId="21"/>
    <tableColumn id="2" name="عدد" dataDxfId="22" totalsRowDxfId="21">
      <calculatedColumnFormula>CH83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BH102*BP102</calculatedColumnFormula>
    </tableColumn>
    <tableColumn id="9" name="%" totalsRowFunction="custom" dataDxfId="16" totalsRowDxfId="15" dataCellStyle="Percent">
      <calculatedColumnFormula>(BQ102)/$R$71</calculatedColumnFormula>
      <totalsRowFormula>Table13597192103[[#Totals],[اجمالي]]/$R$71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3" name="Table15617293104" displayName="Table15617293104" ref="BG87:BR93" totalsRowCount="1" headerRowDxfId="49" dataDxfId="49" totalsRowDxfId="49">
  <autoFilter ref="BG87:BR92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65"/>
    <tableColumn id="8" name="اجمالي" totalsRowFunction="sum" dataDxfId="17" totalsRowDxfId="17">
      <calculatedColumnFormula>BH88*BP88</calculatedColumnFormula>
    </tableColumn>
    <tableColumn id="9" name="%" totalsRowFunction="custom" dataDxfId="16" totalsRowDxfId="15" dataCellStyle="Percent">
      <calculatedColumnFormula>(BQ88)/$R$71</calculatedColumnFormula>
      <totalsRowFormula>Table15617293104[[#Totals],[اجمالي]]/$R$71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4" name="Table16627394105" displayName="Table16627394105" ref="BG95:BR99" totalsRowCount="1" headerRowDxfId="49" dataDxfId="49" totalsRowDxfId="49">
  <autoFilter ref="BG95:BR98"/>
  <tableColumns count="12">
    <tableColumn id="1" name="م" totalsRowLabel="Total" dataDxfId="21" totalsRowDxfId="21"/>
    <tableColumn id="2" name="عدد" totalsRowFunction="sum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(Table16627394105[[#This Row],[Column1]]+Table16627394105[[#This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(BN97*BH97)+(BH98*BN98)</totalsRowFormula>
    </tableColumn>
    <tableColumn id="6" name="سعر الكيلو" dataDxfId="22" totalsRowDxfId="21"/>
    <tableColumn id="7" name="سعر الشبك " dataDxfId="136" totalsRowDxfId="19">
      <calculatedColumnFormula>BN96*$S$2/1000</calculatedColumnFormula>
    </tableColumn>
    <tableColumn id="8" name="اجمالي" totalsRowFunction="sum" dataDxfId="17" totalsRowDxfId="17">
      <calculatedColumnFormula>BH96*BP96</calculatedColumnFormula>
    </tableColumn>
    <tableColumn id="9" name="%" totalsRowFunction="custom" dataDxfId="16" totalsRowDxfId="15" dataCellStyle="Percent">
      <calculatedColumnFormula>(BQ96)/$R$71</calculatedColumnFormula>
      <totalsRowFormula>Table16627394105[[#Totals],[اجمالي]]/$R$71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5" name="Table6637495106" displayName="Table6637495106" ref="CE82:CH96" totalsRowShown="0" headerRowDxfId="124" dataDxfId="51">
  <autoFilter ref="CE82:CH96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(Table1[[#Totals],[المسطح]]+Table14[[#Totals],[Column12]]+Table16[[#Totals],[Column12]]+1)*Table6637495106[[#This Row],[المعدل]]</calculatedColumn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6" name="Table7647596107" displayName="Table7647596107" ref="CJ82:CN97" totalsRowShown="0" headerRowDxfId="124" dataDxfId="51">
  <autoFilter ref="CJ82:CN97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7" name="Table1612677697108" displayName="Table1612677697108" ref="BG128:BR142" totalsRowCount="1" headerRowDxfId="49" dataDxfId="49" totalsRowDxfId="49">
  <autoFilter ref="BG128:BR141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SUMIF(Table17[Column1],Table1612677697108[[#This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SUMIF(Table17[Column1],Table1612677697108[[#This Row],[موقع العمل]],BU80:BU106)</calculatedColumnFormula>
    </tableColumn>
    <tableColumn id="4" name="عدد الايام" dataDxfId="96" totalsRowDxfId="21">
      <calculatedColumnFormula>IF((Sheet2!BN81="A1"),1,IF((Sheet2!BN81="A2"),1,IF((Sheet2!BN81="A3"),1,IF((Sheet2!BN81="B1"),1,IF((Sheet2!BN81="B2"),1,IF((Sheet2!BN81="B3"),1,0))))))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BH129*BP129</calculatedColumnFormula>
    </tableColumn>
    <tableColumn id="9" name="%" totalsRowFunction="custom" dataDxfId="16" totalsRowDxfId="15" dataCellStyle="Percent">
      <calculatedColumnFormula>(BQ129)/$R$71</calculatedColumnFormula>
      <totalsRowFormula>Table1612677697108[[#Totals],[اجمالي]]/$R$71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08" name="Table1613687798109" displayName="Table1613687798109" ref="BG123:BR126" totalsRowCount="1" headerRowDxfId="49" dataDxfId="49" totalsRowDxfId="49">
  <autoFilter ref="BG123:BR125"/>
  <tableColumns count="12">
    <tableColumn id="1" name="م" totalsRowLabel="Total" dataDxfId="67" totalsRowDxfId="21"/>
    <tableColumn id="2" name="عدد" dataDxfId="81" totalsRowDxfId="21">
      <calculatedColumnFormula>IF((BL139="الاسكندرية"),0.25,0.1)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BH124*Table1613687798109[[#This Row],[سعر الشبك ]]</calculatedColumnFormula>
    </tableColumn>
    <tableColumn id="9" name="%" totalsRowFunction="custom" dataDxfId="16" totalsRowDxfId="15" dataCellStyle="Percent">
      <calculatedColumnFormula>(BQ124)/$R$71</calculatedColumnFormula>
      <totalsRowFormula>Table1613687798109[[#Totals],[اجمالي]]/$R$71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09" name="Table17697899110" displayName="Table17697899110" ref="BT79:BZ106" totalsRowShown="0" headerRowDxfId="51" dataDxfId="51">
  <autoFilter ref="BT79:BZ106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4:L57" totalsRowCount="1" headerRowDxfId="49" dataDxfId="49" totalsRowDxfId="49">
  <autoFilter ref="A54:L56"/>
  <sortState ref="A129:L140">
    <sortCondition ref="A128:A140"/>
  </sortState>
  <tableColumns count="12">
    <tableColumn id="1" name="م" totalsRowLabel="Total" dataDxfId="21" totalsRowDxfId="21"/>
    <tableColumn id="2" name="عدد" dataDxfId="1399" totalsRowDxfId="1399"/>
    <tableColumn id="3" name="بيان" totalsRowLabel="Total" dataDxfId="46" totalsRowDxfId="46"/>
    <tableColumn id="11" name="Column2" dataDxfId="46" totalsRowDxfId="46"/>
    <tableColumn id="10" name="Column1" dataDxfId="1359" totalsRowDxfId="46"/>
    <tableColumn id="12" name="Column12" totalsRowFunction="sum" dataDxfId="1392" totalsRowDxfId="46"/>
    <tableColumn id="4" name="الوحده" dataDxfId="1389" totalsRowDxfId="1389" dataCellStyle="Normal 2"/>
    <tableColumn id="5" name="الوزن" dataDxfId="1388" totalsRowDxfId="46"/>
    <tableColumn id="6" name="سعر الكيلو" dataDxfId="1359" totalsRowDxfId="1359">
      <calculatedColumnFormula>J2/1000</calculatedColumnFormula>
    </tableColumn>
    <tableColumn id="7" name="سعر الشبك " dataDxfId="1384" totalsRowDxfId="1359"/>
    <tableColumn id="8" name="اجمالي" totalsRowFunction="sum" dataDxfId="17" totalsRowDxfId="17">
      <calculatedColumnFormula>B55*J55</calculatedColumnFormula>
    </tableColumn>
    <tableColumn id="9" name="%" totalsRowFunction="custom" dataDxfId="1380" totalsRowDxfId="871" dataCellStyle="Percent">
      <calculatedColumnFormula>(Table1610[[#This Row],[اجمالي]])/$G$81</calculatedColumnFormula>
      <totalsRowFormula>Table1610[[#Totals],[اجمالي]]/$G$81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0" name="Table187079100111" displayName="Table187079100111" ref="BI144:BM146" totalsRowShown="0" headerRowDxfId="49" dataDxfId="49">
  <autoFilter ref="BI144:BM146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IF((BL140="المقطم"),0.3,IF((BL140="التجمع"),0.3,IF((BL140="الشيخ زايد"),0.3,IF((BL140="الاسكندرية"),0.5,0.35))))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id="111" name="Table15880101112" displayName="Table15880101112" ref="BG79:BR85" totalsRowCount="1" headerRowDxfId="41" dataDxfId="41">
  <autoFilter ref="BG79:BR84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(Table15880101112[[#This Row],[Column1]]+Table15880101112[[#This Row],[Column2]])*12*Table15880101112[[#This Row],[عدد]]</calculatedColumnFormula>
    </tableColumn>
    <tableColumn id="4" name="الوحده" dataDxfId="21" totalsRowDxfId="21"/>
    <tableColumn id="5" name="الوزن" totalsRowFunction="custom" dataDxfId="21" totalsRowDxfId="21">
      <totalsRowFormula>(BN80*BH80)+(BN81*BH81)+(BN82*BH82)+(BN83*BH83)</totalsRowFormula>
    </tableColumn>
    <tableColumn id="6" name="اجمالي المسطح" totalsRowFunction="sum" dataDxfId="22" totalsRowDxfId="21">
      <calculatedColumnFormula>Table15880101112[[#This Row],[المسطح]]*Table15880101112[[#This Row],[عدد]]</calculatedColumnFormula>
    </tableColumn>
    <tableColumn id="7" name="سعر الشبك " dataDxfId="20" totalsRowDxfId="19">
      <calculatedColumnFormula>BN80*$S$2/1000</calculatedColumnFormula>
    </tableColumn>
    <tableColumn id="8" name="اجمالي" totalsRowFunction="sum" dataDxfId="17" totalsRowDxfId="17">
      <calculatedColumnFormula>BH80*BP80</calculatedColumnFormula>
    </tableColumn>
    <tableColumn id="9" name="%" totalsRowFunction="custom" dataDxfId="16" totalsRowDxfId="15" dataCellStyle="Percent">
      <calculatedColumnFormula>(BQ80)/$R$71</calculatedColumnFormula>
      <totalsRowFormula>Table15880101112[[#Totals],[اجمالي]]/$R$71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id="112" name="Table80102113" displayName="Table80102113" ref="AV79:BA97" totalsRowCount="1" headerRowDxfId="14" dataDxfId="1" totalsRowDxfId="12">
  <autoFilter ref="AV79:BA96"/>
  <tableColumns count="6">
    <tableColumn id="1" name="Column1" totalsRowLabel="Total" dataDxfId="1" totalsRowDxfId="10"/>
    <tableColumn id="2" name="عدد" totalsRowFunction="custom" dataDxfId="1" totalsRowDxfId="8">
      <totalsRowFormula>(Table80102113[[#Totals],[price]]*1.1)/(BA78*AY78/10000)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9:L62" totalsRowCount="1" headerRowDxfId="49" dataDxfId="49" totalsRowDxfId="49">
  <autoFilter ref="A59:L61"/>
  <tableColumns count="12">
    <tableColumn id="1" name="م" totalsRowLabel="Total" dataDxfId="21" totalsRowDxfId="21"/>
    <tableColumn id="2" name="عدد" dataDxfId="21" totalsRowDxfId="21"/>
    <tableColumn id="3" name="بيان برجولا رويال" totalsRowLabel="Total" dataDxfId="21" totalsRowDxfId="21"/>
    <tableColumn id="12" name="Column12" totalsRowFunction="sum" dataDxfId="28" totalsRowDxfId="27">
      <calculatedColumnFormula>(Table1611[[#This Row],[الامتداد]]+Table1611[[#This Row],[العرض]])*12</calculatedColumnFormula>
    </tableColumn>
    <tableColumn id="5" name="Column1" dataDxfId="21" totalsRowDxfId="21"/>
    <tableColumn id="11" name="العرض" dataDxfId="46" totalsRowDxfId="21"/>
    <tableColumn id="10" name="الامتداد" dataDxfId="22" totalsRowDxfId="21"/>
    <tableColumn id="4" name="سعر المتر" dataDxfId="1359" totalsRowDxfId="21"/>
    <tableColumn id="6" name="Column2" dataDxfId="104" totalsRowDxfId="21">
      <calculatedColumnFormula>#REF!*E60</calculatedColumnFormula>
    </tableColumn>
    <tableColumn id="7" name="سعر البرجولا كاملة" dataDxfId="136" totalsRowDxfId="19"/>
    <tableColumn id="8" name="اجمالي" totalsRowFunction="sum" dataDxfId="17" totalsRowDxfId="17">
      <calculatedColumnFormula>B60*#REF!</calculatedColumnFormula>
    </tableColumn>
    <tableColumn id="9" name="%" totalsRowFunction="custom" dataDxfId="16" totalsRowDxfId="871" dataCellStyle="Percent">
      <calculatedColumnFormula>(K60)/$G$81</calculatedColumnFormula>
      <totalsRowFormula>Table1611[[#Totals],[اجمالي]]/$G$81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4:L78" totalsRowCount="1" headerRowDxfId="49" dataDxfId="49" totalsRowDxfId="49">
  <autoFilter ref="A64:L77"/>
  <tableColumns count="12">
    <tableColumn id="1" name="م" totalsRowLabel="Total" dataDxfId="21" totalsRowDxfId="21"/>
    <tableColumn id="2" name="عدد" dataDxfId="81" totalsRowDxfId="46"/>
    <tableColumn id="3" name="بيان" totalsRowLabel="Total" dataDxfId="106" totalsRowDxfId="46"/>
    <tableColumn id="5" name="اليومية / الاجرة" dataDxfId="106" totalsRowDxfId="21"/>
    <tableColumn id="6" name="بدل الوجبة" dataDxfId="104" totalsRowDxfId="21">
      <calculatedColumnFormula>SUMIF(Table17[Column1],Table1612[[#This Row],[موقع العمل]],$R$2:$R$20)</calculatedColumnFormula>
    </tableColumn>
    <tableColumn id="11" name="موقع العمل" dataDxfId="46" totalsRowDxfId="46"/>
    <tableColumn id="10" name="شيفت العمل" dataDxfId="21" totalsRowDxfId="21"/>
    <tableColumn id="12" name="Column12" totalsRowFunction="sum" dataDxfId="28" totalsRowDxfId="27">
      <calculatedColumnFormula>SUMIF(Table17[Column1],Table1612[[#This Row],[موقع العمل]],O2:O20)</calculatedColumnFormula>
    </tableColumn>
    <tableColumn id="4" name="عدد الايام" dataDxfId="96" totalsRowDxfId="21">
      <calculatedColumnFormula>IF((Sheet2!H3="A1"),1,IF((Sheet2!H3="A2"),1,IF((Sheet2!H3="A3"),1,IF((Sheet2!H3="B1"),1,IF((Sheet2!H3="B2"),1,IF((Sheet2!H3="B3"),1,0))))))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B65*J65</calculatedColumnFormula>
    </tableColumn>
    <tableColumn id="9" name="%" totalsRowFunction="custom" dataDxfId="16" totalsRowDxfId="871" dataCellStyle="Percent">
      <calculatedColumnFormula>(K65)/$G$81</calculatedColumnFormula>
      <totalsRowFormula>Table1612[[#Totals],[اجمالي]]/$G$81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 headerRowDxfId="51" dataDxfId="51">
  <autoFilter ref="N1:T20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80:G82" totalsRowShown="0" headerRowDxfId="49" dataDxfId="49">
  <autoFilter ref="C80:G8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IF((F76="المقطم"),0.3,IF((F76="التجمع"),0.3,IF((F76="الشيخ زايد"),0.3,IF((F76="الاسكندرية"),0.5,0.35))))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8" name="Table8" displayName="Table8" ref="A2:J15" totalsRowCount="1" dataDxfId="27" totalsRowBorderDxfId="1782" dataCellStyle="Normal 2">
  <autoFilter ref="A2:J14"/>
  <tableColumns count="10">
    <tableColumn id="7" name="Column7" totalsRowLabel="Total" dataDxfId="27" totalsRowDxfId="1067" dataCellStyle="Normal 2"/>
    <tableColumn id="6" name="الطول بالمتر" dataDxfId="27" totalsRowDxfId="1067" dataCellStyle="Normal 2"/>
    <tableColumn id="5" name="وزن المتر " dataDxfId="27" totalsRowDxfId="1067" dataCellStyle="Normal 2"/>
    <tableColumn id="4" name="سعر الكيلو" dataDxfId="27" totalsRowDxfId="1067" dataCellStyle="Normal 2"/>
    <tableColumn id="3" name="اجمالي عدد " totalsRowFunction="custom" dataDxfId="27" totalsRowDxfId="1067" dataCellStyle="Normal 2">
      <totalsRowFormula>Table8[[#Totals],[اجمالي التكلفة]]/B1</totalsRowFormula>
    </tableColumn>
    <tableColumn id="2" name="اجمالي التكلفة" totalsRowFunction="sum" dataDxfId="1076" totalsRowDxfId="1075" dataCellStyle="Normal 2"/>
    <tableColumn id="9" name="Column1" dataDxfId="27" totalsRowDxfId="1067" dataCellStyle="Normal 2"/>
    <tableColumn id="10" name="Column2" dataDxfId="27" totalsRowDxfId="1067" dataCellStyle="Normal 2"/>
    <tableColumn id="11" name="Column3" dataDxfId="27" totalsRowDxfId="1067" dataCellStyle="Normal 2"/>
    <tableColumn id="12" name="Column4" dataDxfId="27" totalsRowDxfId="1067" dataCellStyle="Normal 2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58" name="Table1359" displayName="Table1359" ref="L25:W48" totalsRowCount="1" headerRowDxfId="49" dataDxfId="49" totalsRowDxfId="49">
  <autoFilter ref="L25:W47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M26*U26</calculatedColumnFormula>
    </tableColumn>
    <tableColumn id="9" name="%" totalsRowFunction="custom" dataDxfId="16" totalsRowDxfId="15" dataCellStyle="Percent">
      <calculatedColumnFormula>(V26)/$R$74</calculatedColumnFormula>
      <totalsRowFormula>Table1359[[#Totals],[اجمالي]]/$R$74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60" name="Table1561" displayName="Table1561" ref="L10:W18" totalsRowCount="1" headerRowDxfId="49" dataDxfId="49" totalsRowDxfId="49">
  <autoFilter ref="L10:W17"/>
  <sortState ref="L11:W27">
    <sortCondition ref="L10:L27"/>
  </sortState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M11*U11</calculatedColumnFormula>
    </tableColumn>
    <tableColumn id="9" name="%" totalsRowFunction="custom" dataDxfId="16" totalsRowDxfId="871" dataCellStyle="Percent">
      <calculatedColumnFormula>(V11)/$R$74</calculatedColumnFormula>
      <totalsRowFormula>Table1561[[#Totals],[اجمالي]]/$R$74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61" name="Table1662" displayName="Table1662" ref="L20:W23" totalsRowCount="1" headerRowDxfId="49" dataDxfId="49" totalsRowDxfId="49">
  <autoFilter ref="L20:W22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(Table1662[[#This Row],[Column1]]+Table1662[[#This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(S21*M21)+(M22*S22)</totalsRowFormula>
    </tableColumn>
    <tableColumn id="6" name="سعر الكيلو" dataDxfId="22" totalsRowDxfId="21"/>
    <tableColumn id="7" name="سعر الشبك " dataDxfId="136" totalsRowDxfId="19"/>
    <tableColumn id="8" name="اجمالي" totalsRowFunction="sum" dataDxfId="17" totalsRowDxfId="17">
      <calculatedColumnFormula>M21*U21</calculatedColumnFormula>
    </tableColumn>
    <tableColumn id="9" name="%" totalsRowFunction="custom" dataDxfId="16" totalsRowDxfId="871" dataCellStyle="Percent">
      <calculatedColumnFormula>(V21)/$R$74</calculatedColumnFormula>
      <totalsRowFormula>Table1662[[#Totals],[اجمالي]]/$R$74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62" name="Table663" displayName="Table663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(Table1[[#Totals],[المسطح]]+Table14[[#Totals],[Column12]]+Table16[[#Totals],[Column12]]+1)*Table663[[#This Row],[المعدل]]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63" name="Table764" displayName="Table764" ref="AO4:AS19" totalsRowShown="0" headerRowDxfId="124" dataDxfId="51">
  <autoFilter ref="AO4:AS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66" name="Table161267" displayName="Table161267" ref="L57:W71" totalsRowCount="1" headerRowDxfId="49" dataDxfId="49" totalsRowDxfId="49">
  <autoFilter ref="L57:W70"/>
  <tableColumns count="12">
    <tableColumn id="1" name="م" totalsRowLabel="Total" dataDxfId="21" totalsRowDxfId="21"/>
    <tableColumn id="2" name="عدد" dataDxfId="81" totalsRowDxfId="46"/>
    <tableColumn id="3" name="بيان" totalsRowLabel="Total" dataDxfId="106" totalsRowDxfId="46"/>
    <tableColumn id="5" name="اليومية / الاجرة" dataDxfId="106" totalsRowDxfId="21"/>
    <tableColumn id="6" name="بدل الوجبة" dataDxfId="104" totalsRowDxfId="21">
      <calculatedColumnFormula>SUMIF(Table17[Column1],Table161267[[#This Row],[موقع العمل]],$R$2:$R$8)</calculatedColumnFormula>
    </tableColumn>
    <tableColumn id="11" name="موقع العمل" dataDxfId="46" totalsRowDxfId="46"/>
    <tableColumn id="10" name="شيفت العمل" dataDxfId="21" totalsRowDxfId="21"/>
    <tableColumn id="12" name="Column12" totalsRowFunction="sum" dataDxfId="28" totalsRowDxfId="27">
      <calculatedColumnFormula>SUMIF(Table17[Column1],Table161267[[#This Row],[موقع العمل]],Z2:Z28)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M58*U58</calculatedColumnFormula>
    </tableColumn>
    <tableColumn id="9" name="%" totalsRowFunction="custom" dataDxfId="16" totalsRowDxfId="871" dataCellStyle="Percent">
      <calculatedColumnFormula>(V58)/$R$74</calculatedColumnFormula>
      <totalsRowFormula>Table161267[[#Totals],[اجمالي]]/$R$74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67" name="Table161368" displayName="Table161368" ref="L51:W55" totalsRowCount="1" headerRowDxfId="49" dataDxfId="49" totalsRowDxfId="49">
  <autoFilter ref="L51:W54"/>
  <tableColumns count="12">
    <tableColumn id="1" name="م" totalsRowLabel="Total" dataDxfId="67" totalsRowDxfId="21"/>
    <tableColumn id="2" name="عدد" dataDxfId="81" totalsRowDxfId="21">
      <calculatedColumnFormula>IF((Q67="الاسكندرية"),0.25,0.1)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M52*Table161368[[#This Row],[سعر الشبك ]]</calculatedColumnFormula>
    </tableColumn>
    <tableColumn id="9" name="%" totalsRowFunction="custom" dataDxfId="16" totalsRowDxfId="871" dataCellStyle="Percent">
      <calculatedColumnFormula>(V52)/$R$74</calculatedColumnFormula>
      <totalsRowFormula>Table161368[[#Totals],[اجمالي]]/$R$74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68" name="Table1769" displayName="Table1769" ref="Y1:AE28" totalsRowShown="0" headerRowDxfId="51" dataDxfId="51">
  <autoFilter ref="Y1:AE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69" name="Table1870" displayName="Table1870" ref="N73:R75" totalsRowShown="0" headerRowDxfId="49" dataDxfId="49">
  <autoFilter ref="N73:R75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IF((Q69="المقطم"),0.3,IF((Q69="التجمع"),0.3,IF((Q69="الشيخ زايد"),0.3,IF((Q69="الاسكندرية"),0.5,0.35))))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57" name="Table158" displayName="Table158" ref="L5:W8" totalsRowCount="1" headerRowDxfId="41" dataDxfId="41">
  <autoFilter ref="L5:W7"/>
  <sortState ref="L6:W33">
    <sortCondition ref="L5:L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(Table158[[#This Row],[Column1]]+Table158[[#This Row],[Column2]])*12*Table158[[#This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(S7*M7)</totalsRowFormula>
    </tableColumn>
    <tableColumn id="6" name="سعر الكيلو" totalsRowFunction="sum" dataDxfId="22" totalsRowDxfId="21">
      <calculatedColumnFormula>Table158[[#This Row],[المسطح]]*Table158[[#This Row],[عدد]]</calculatedColumnFormula>
    </tableColumn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871" dataCellStyle="Percent">
      <calculatedColumnFormula>(V6)/$R$74</calculatedColumnFormula>
      <totalsRowFormula>Table158[[#Totals],[اجمالي]]/$R$74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17" name="Table118" displayName="Table118" ref="A5:L10" totalsRowCount="1" headerRowDxfId="41" dataDxfId="41">
  <autoFilter ref="A5:L9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(Table118[[#This Row],[Column1]]+Table118[[#This Row],[Column2]])*12*Table118[[#This Row],[عدد]]</calculatedColumnFormula>
    </tableColumn>
    <tableColumn id="4" name="الوحده" dataDxfId="21" totalsRowDxfId="21"/>
    <tableColumn id="5" name="الوزن" dataDxfId="21" totalsRowDxfId="21"/>
    <tableColumn id="6" name="اجمالي الميزان" totalsRowFunction="sum" dataDxfId="22" totalsRowDxfId="21">
      <calculatedColumnFormula>Table118[[#This Row],[الوزن]]*Table118[[#This Row],[عدد]]</calculatedColumnFormula>
    </tableColumn>
    <tableColumn id="7" name="سعر الشبك " dataDxfId="136" totalsRowDxfId="19">
      <calculatedColumnFormula>H6*$H$2/1000</calculatedColumnFormula>
    </tableColumn>
    <tableColumn id="8" name="اجمالي" totalsRowFunction="sum" dataDxfId="17" totalsRowDxfId="17">
      <calculatedColumnFormula>B6*J6</calculatedColumnFormula>
    </tableColumn>
    <tableColumn id="9" name="%" totalsRowFunction="custom" dataDxfId="16" totalsRowDxfId="871" dataCellStyle="Percent">
      <calculatedColumnFormula>(K6)/$G$87</calculatedColumnFormula>
      <totalsRowFormula>Table118[[#Totals],[اجمالي]]/$G$87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18" name="Table1319" displayName="Table1319" ref="A35:L53" totalsRowCount="1" headerRowDxfId="49" dataDxfId="49" totalsRowDxfId="49">
  <autoFilter ref="A35:L52"/>
  <tableColumns count="12">
    <tableColumn id="1" name="م" totalsRowLabel="Total" dataDxfId="21" totalsRowDxfId="21"/>
    <tableColumn id="2" name="عدد" dataDxfId="22" totalsRowDxfId="21">
      <calculatedColumnFormula>AB5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2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B36*J36</calculatedColumnFormula>
    </tableColumn>
    <tableColumn id="9" name="%" totalsRowFunction="custom" dataDxfId="1380" totalsRowDxfId="871" dataCellStyle="Percent">
      <calculatedColumnFormula>(K36)/$G$87</calculatedColumnFormula>
      <totalsRowFormula>Table1319[[#Totals],[اجمالي]]/$G$87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20" name="Table1421" displayName="Table1421" ref="A12:L15" totalsRowCount="1" headerRowDxfId="49" dataDxfId="49" totalsRowDxfId="49">
  <autoFilter ref="A12:L14"/>
  <tableColumns count="12">
    <tableColumn id="1" name="م" totalsRowLabel="Total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2" totalsRowDxfId="21">
      <calculatedColumnFormula>(Table1421[[#This Row],[Column1]]+Table1421[[#This Row],[Column2]])*12*Table1421[[#This Row],[عدد]]</calculatedColumnFormula>
    </tableColumn>
    <tableColumn id="4" name="الوحده" dataDxfId="21" totalsRowDxfId="21"/>
    <tableColumn id="5" name="الوزن" dataDxfId="21" totalsRowDxfId="21"/>
    <tableColumn id="6" name="سعر الكيلو" totalsRowFunction="sum" dataDxfId="22" totalsRowDxfId="21">
      <calculatedColumnFormula>$I$2/1000</calculatedColumnFormula>
    </tableColumn>
    <tableColumn id="7" name="سعر الشبك " dataDxfId="136" totalsRowDxfId="20"/>
    <tableColumn id="8" name="اجمالي" totalsRowFunction="sum" dataDxfId="17" totalsRowDxfId="17">
      <calculatedColumnFormula>B13*J13</calculatedColumnFormula>
    </tableColumn>
    <tableColumn id="9" name="%" totalsRowFunction="custom" dataDxfId="1380" totalsRowDxfId="871" dataCellStyle="Percent">
      <calculatedColumnFormula>(K13)/$G$91</calculatedColumnFormula>
      <totalsRowFormula>Table1421[[#Totals],[اجمالي]]/$G$87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127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21" name="Table1522" displayName="Table1522" ref="A17:L28" totalsRowCount="1" headerRowDxfId="49" dataDxfId="49" totalsRowDxfId="49">
  <autoFilter ref="A17:L27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B18*J18</calculatedColumnFormula>
    </tableColumn>
    <tableColumn id="9" name="%" totalsRowFunction="custom" dataDxfId="1380" totalsRowDxfId="871" dataCellStyle="Percent">
      <calculatedColumnFormula>(K18)/$G$87</calculatedColumnFormula>
      <totalsRowFormula>Table1522[[#Totals],[اجمالي]]/$G$87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23" name="Table1624" displayName="Table1624" ref="A30:L33" totalsRowCount="1" headerRowDxfId="49" dataDxfId="49" totalsRowDxfId="49">
  <autoFilter ref="A30:L32"/>
  <tableColumns count="12">
    <tableColumn id="1" name="م" totalsRowLabel="Total" dataDxfId="21" totalsRowDxfId="21"/>
    <tableColumn id="2" name="عدد" totalsRowFunction="count" dataDxfId="22" totalsRowDxfId="21">
      <calculatedColumnFormula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(Table1624[[#This Row],[Column1]]+Table1624[[#This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H31*B31+H32*B32</totalsRowFormula>
    </tableColumn>
    <tableColumn id="6" name="سعر الكيلو" dataDxfId="22" totalsRowDxfId="21">
      <calculatedColumnFormula>$H$2/1000</calculatedColumnFormula>
    </tableColumn>
    <tableColumn id="7" name="سعر الشبك " dataDxfId="136" totalsRowDxfId="19"/>
    <tableColumn id="8" name="اجمالي" totalsRowFunction="sum" dataDxfId="17" totalsRowDxfId="17">
      <calculatedColumnFormula>B31*J31</calculatedColumnFormula>
    </tableColumn>
    <tableColumn id="9" name="%" totalsRowFunction="custom" dataDxfId="1380" totalsRowDxfId="871" dataCellStyle="Percent">
      <calculatedColumnFormula>(K31)/$G$91</calculatedColumnFormula>
      <totalsRowFormula>Table1624[[#Totals],[اجمالي]]/$G$87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24" name="Table625" displayName="Table625" ref="Y4:AB18" totalsRowShown="0" headerRowDxfId="124" dataDxfId="51">
  <autoFilter ref="Y4:AB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(Table1[[#Totals],[المسطح]]+Table14[[#Totals],[Column12]]+Table16[[#Totals],[Column12]]+1)*Table625[[#This Row],[المعدل]]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26" name="Table161027" displayName="Table161027" ref="A56:L59" totalsRowCount="1" headerRowDxfId="49" dataDxfId="49" totalsRowDxfId="49">
  <autoFilter ref="A56:L58"/>
  <tableColumns count="12">
    <tableColumn id="1" name="م" totalsRowLabel="Total" dataDxfId="21" totalsRowDxfId="21"/>
    <tableColumn id="2" name="عدد" dataDxfId="1400" totalsRowDxfId="13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46" totalsRowDxfId="46"/>
    <tableColumn id="11" name="Column2" dataDxfId="46" totalsRowDxfId="46"/>
    <tableColumn id="10" name="Column1" dataDxfId="1359" totalsRowDxfId="46"/>
    <tableColumn id="12" name="Column12" totalsRowFunction="sum" dataDxfId="1392" totalsRowDxfId="46"/>
    <tableColumn id="4" name="الوحده" dataDxfId="1389" totalsRowDxfId="1389" dataCellStyle="Normal 2"/>
    <tableColumn id="5" name="الوزن" dataDxfId="1388" totalsRowDxfId="46"/>
    <tableColumn id="6" name="سعر الكيلو" dataDxfId="1359" totalsRowDxfId="1359">
      <calculatedColumnFormula>J2/1000</calculatedColumnFormula>
    </tableColumn>
    <tableColumn id="7" name="سعر الشبك " dataDxfId="1384" totalsRowDxfId="1359"/>
    <tableColumn id="8" name="اجمالي" totalsRowFunction="sum" dataDxfId="17" totalsRowDxfId="17">
      <calculatedColumnFormula>B57*J57</calculatedColumnFormula>
    </tableColumn>
    <tableColumn id="9" name="%" totalsRowFunction="custom" dataDxfId="1380" totalsRowDxfId="1292" dataCellStyle="Percent">
      <calculatedColumnFormula>(Table161027[[#This Row],[اجمالي]])/$G$88</calculatedColumnFormula>
      <totalsRowFormula>Table161027[[#Totals],[اجمالي]]/$G$87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27" name="Table161128" displayName="Table161128" ref="A61:L64" totalsRowCount="1" headerRowDxfId="49" dataDxfId="49" totalsRowDxfId="49">
  <autoFilter ref="A61:L63"/>
  <tableColumns count="12">
    <tableColumn id="1" name="م" totalsRowLabel="Total" dataDxfId="21" totalsRowDxfId="21"/>
    <tableColumn id="2" name="عدد" dataDxfId="21" totalsRowDxfId="21"/>
    <tableColumn id="3" name="بيان برجولا رويال" totalsRowLabel="Total" dataDxfId="21" totalsRowDxfId="21"/>
    <tableColumn id="12" name="Column12" totalsRowFunction="sum" dataDxfId="28" totalsRowDxfId="27">
      <calculatedColumnFormula>(Table161128[[#This Row],[الامتداد]]+Table161128[[#This Row],[العرض]])*12</calculatedColumnFormula>
    </tableColumn>
    <tableColumn id="5" name="Column1" dataDxfId="21" totalsRowDxfId="21"/>
    <tableColumn id="11" name="العرض" dataDxfId="46" totalsRowDxfId="21"/>
    <tableColumn id="10" name="الامتداد" dataDxfId="22" totalsRowDxfId="21"/>
    <tableColumn id="4" name="سعر المتر" dataDxfId="1359" totalsRowDxfId="21"/>
    <tableColumn id="6" name="Column2" dataDxfId="104" totalsRowDxfId="21">
      <calculatedColumnFormula>#REF!*E62</calculatedColumnFormula>
    </tableColumn>
    <tableColumn id="7" name="سعر البرجولا كاملة" dataDxfId="136" totalsRowDxfId="19"/>
    <tableColumn id="8" name="اجمالي" totalsRowFunction="sum" dataDxfId="17" totalsRowDxfId="17">
      <calculatedColumnFormula>Table161128[[#This Row],[عدد]]*Table161128[[#This Row],[سعر البرجولا كاملة]]</calculatedColumnFormula>
    </tableColumn>
    <tableColumn id="9" name="%" totalsRowFunction="custom" dataDxfId="16" totalsRowDxfId="871" dataCellStyle="Percent">
      <calculatedColumnFormula>(K62)/$G$87</calculatedColumnFormula>
      <totalsRowFormula>Table161128[[#Totals],[اجمالي]]/$G$87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28" name="Table161229" displayName="Table161229" ref="A70:L84" totalsRowCount="1" headerRowDxfId="49" dataDxfId="49" totalsRowDxfId="49">
  <autoFilter ref="A70:L83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SUMIF(Table17[Column1],Table161229[[#This Row],[موقع العمل]],$R$2:$R$34)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SUMIF(Table17[Column1],Table161229[[#This Row],[موقع العمل]],O2:O28)</calculatedColumnFormula>
    </tableColumn>
    <tableColumn id="4" name="عدد الايام" dataDxfId="96" totalsRowDxfId="21">
      <calculatedColumnFormula>IF((Sheet2!H3="A1"),1,IF((Sheet2!H3="A2"),1,IF((Sheet2!H3="A3"),1,IF((Sheet2!H3="B1"),1,IF((Sheet2!H3="B2"),1,IF((Sheet2!H3="B3"),1,0))))))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B71*J71</calculatedColumnFormula>
    </tableColumn>
    <tableColumn id="9" name="%" totalsRowFunction="custom" dataDxfId="16" totalsRowDxfId="15" dataCellStyle="Percent">
      <calculatedColumnFormula>(K71)/$G$87</calculatedColumnFormula>
      <totalsRowFormula>Table161229[[#Totals],[اجمالي]]/$G$87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29" name="Table161330" displayName="Table161330" ref="A66:L68" totalsRowCount="1" headerRowDxfId="49" dataDxfId="49" totalsRowDxfId="49">
  <autoFilter ref="A66:L67"/>
  <tableColumns count="12">
    <tableColumn id="1" name="م" totalsRowLabel="Total" dataDxfId="67" totalsRowDxfId="21"/>
    <tableColumn id="2" name="عدد" dataDxfId="81" totalsRowDxfId="21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B67*Table161330[[#This Row],[سعر الشبك ]]</calculatedColumnFormula>
    </tableColumn>
    <tableColumn id="9" name="%" totalsRowFunction="custom" dataDxfId="16" totalsRowDxfId="1292" dataCellStyle="Percent">
      <calculatedColumnFormula>(K67)/$G$87</calculatedColumnFormula>
      <totalsRowFormula>Table161330[[#Totals],[اجمالي]]/$G$87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30" name="Table1731" displayName="Table1731" ref="N1:T28" totalsRowShown="0" headerRowDxfId="51" dataDxfId="51">
  <autoFilter ref="N1:T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31" name="Table1832" displayName="Table1832" ref="C86:G88" totalsRowShown="0" headerRowDxfId="49" dataDxfId="49">
  <autoFilter ref="C86:G88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IF((F82="المقطم"),0.3,IF((F82="التجمع"),0.3,IF((F82="الشيخ زايد"),0.3,IF((F82="الاسكندرية"),0.5,IF((F76="الساحل"),0.5,0.35)))))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27"/>
    <tableColumn id="2" name="المقاس" dataDxfId="27"/>
    <tableColumn id="4" name="ميزان" dataDxfId="123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43" totalsRowShown="0">
  <autoFilter ref="A11:B43"/>
  <tableColumns count="2">
    <tableColumn id="1" name="الخامة"/>
    <tableColumn id="2" name="السعر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1227"/>
    <tableColumn id="2" name="Column2" dataDxfId="27"/>
  </tableColumns>
  <tableStyleInfo name="TableStyleLight17" showFirstColumn="0" showLastColumn="0" showRowStripes="1" showColumnStripes="0"/>
</table>
</file>

<file path=xl/tables/table41.xml><?xml version="1.0" encoding="utf-8"?>
<table xmlns="http://schemas.openxmlformats.org/spreadsheetml/2006/main" id="34" name="Table4" displayName="Table4" ref="H2:K13" totalsRowCount="1" totalsRowBorderDxfId="1261">
  <autoFilter ref="H2:K12"/>
  <tableColumns count="4">
    <tableColumn id="1" name="Column1" totalsRowLabel="Total" dataDxfId="27" totalsRowDxfId="27"/>
    <tableColumn id="2" name="عدد/الشمسية" dataDxfId="1217" totalsRowDxfId="27"/>
    <tableColumn id="3" name="سعر الوحدة" dataDxfId="27" totalsRowDxfId="27"/>
    <tableColumn id="4" name="قيمة" totalsRowFunction="sum" dataDxfId="27" totalsRowDxfId="27"/>
  </tableColumns>
  <tableStyleInfo name="TableStyleLight18" showFirstColumn="0" showLastColumn="0" showRowStripes="1" showColumnStripes="0"/>
</table>
</file>

<file path=xl/tables/table4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27"/>
    <tableColumn id="2" name="امتار عادية" dataDxfId="27"/>
    <tableColumn id="4" name="امتار single" dataDxfId="27"/>
    <tableColumn id="6" name="امتار douple" dataDxfId="27"/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36" name="Table637" displayName="Table637" ref="E7:F10" totalsRowShown="0" headerRowDxfId="27" dataDxfId="27">
  <autoFilter ref="E7:F10"/>
  <tableColumns count="2">
    <tableColumn id="1" name="Column1" dataDxfId="27"/>
    <tableColumn id="2" name="Column2" dataDxfId="27"/>
  </tableColumns>
  <tableStyleInfo name="TableStyleLight17" showFirstColumn="0" showLastColumn="0" showRowStripes="1" showColumnStripes="0"/>
</table>
</file>

<file path=xl/tables/table4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45.xml><?xml version="1.0" encoding="utf-8"?>
<table xmlns="http://schemas.openxmlformats.org/spreadsheetml/2006/main" id="38" name="Table2" displayName="Table2" ref="M2:O16" totalsRowShown="0" dataDxfId="1234">
  <autoFilter ref="M2:O16"/>
  <tableColumns count="3">
    <tableColumn id="1" name="البيان" dataDxfId="1234"/>
    <tableColumn id="2" name="الناتج" dataDxfId="1235"/>
    <tableColumn id="3" name="Column1" dataDxfId="123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1231"/>
    <tableColumn id="4" name="ميزان" dataDxfId="123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7"/>
    <tableColumn id="2" name="Column2" dataDxfId="27"/>
  </tableColumns>
  <tableStyleInfo name="TableStyleLight17" showFirstColumn="0" showLastColumn="0" showRowStripes="1" showColumnStripes="0"/>
</table>
</file>

<file path=xl/tables/table48.xml><?xml version="1.0" encoding="utf-8"?>
<table xmlns="http://schemas.openxmlformats.org/spreadsheetml/2006/main" id="48" name="Table424" displayName="Table424" ref="Y2:AB15" totalsRowCount="1" totalsRowBorderDxfId="1220">
  <autoFilter ref="Y2:AB14"/>
  <tableColumns count="4">
    <tableColumn id="1" name="Column1" totalsRowLabel="Total" dataDxfId="27" totalsRowDxfId="27"/>
    <tableColumn id="2" name="عدد/الشمسية" dataDxfId="1217" totalsRowDxfId="27"/>
    <tableColumn id="3" name="سعر الوحدة" dataDxfId="27" totalsRowDxfId="27"/>
    <tableColumn id="4" name="قيمة" totalsRowFunction="sum" dataDxfId="27" totalsRowDxfId="27"/>
  </tableColumns>
  <tableStyleInfo name="TableStyleLight18" showFirstColumn="0" showLastColumn="0" showRowStripes="1" showColumnStripes="0"/>
</table>
</file>

<file path=xl/tables/table4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7"/>
    <tableColumn id="2" name="امتار عادية" dataDxfId="27"/>
    <tableColumn id="4" name="امتار single" dataDxfId="27"/>
    <tableColumn id="6" name="امتار douple" dataDxfId="27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 headerRowDxfId="41" dataDxfId="41">
  <autoFilter ref="A5:L8"/>
  <sortState ref="A6:L33">
    <sortCondition ref="A5:A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(Table1[[#This Row],[Column1]]+Table1[[#This Row],[Column2]])*12*Table1[[#This Row],[عدد]]</calculatedColumnFormula>
    </tableColumn>
    <tableColumn id="4" name="الوحده" dataDxfId="21" totalsRowDxfId="21"/>
    <tableColumn id="5" name="الوزن" totalsRowFunction="custom" dataDxfId="21" totalsRowDxfId="21">
      <totalsRowFormula>(H6*B6)+(H8*B8)+(H7*B7)</totalsRowFormula>
    </tableColumn>
    <tableColumn id="6" name="مسطح" dataDxfId="22" totalsRowDxfId="21">
      <calculatedColumnFormula>Table1[[#This Row],[المسطح]]*Table1[[#This Row],[عدد]]</calculatedColumnFormula>
    </tableColumn>
    <tableColumn id="7" name="سعر الشبك " dataDxfId="136" totalsRowDxfId="19"/>
    <tableColumn id="8" name="اجمالي" totalsRowFunction="sum" dataDxfId="17" totalsRowDxfId="17">
      <calculatedColumnFormula>B6*J6</calculatedColumnFormula>
    </tableColumn>
    <tableColumn id="9" name="%" totalsRowFunction="custom" dataDxfId="16" totalsRowDxfId="871" dataCellStyle="Percent">
      <calculatedColumnFormula>(K6)/$G$79</calculatedColumnFormula>
      <totalsRowFormula>Table1[[#Totals],[اجمالي]]/$G$81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50" name="Table626" displayName="Table626" ref="V7:W11" totalsRowShown="0" headerRowDxfId="27" dataDxfId="27">
  <autoFilter ref="V7:W11"/>
  <tableColumns count="2">
    <tableColumn id="1" name="Column1" dataDxfId="27"/>
    <tableColumn id="2" name="Column2" dataDxfId="27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51" name="Table727" displayName="Table727" ref="V17:W20" totalsRowShown="0" dataDxfId="1193">
  <autoFilter ref="V17:W20"/>
  <tableColumns count="2">
    <tableColumn id="1" name="Column1" dataDxfId="1193"/>
    <tableColumn id="2" name="Column2" dataDxfId="1193"/>
  </tableColumns>
  <tableStyleInfo name="TableStyleLight17" showFirstColumn="0" showLastColumn="0" showRowStripes="1" showColumnStripes="0"/>
</table>
</file>

<file path=xl/tables/table52.xml><?xml version="1.0" encoding="utf-8"?>
<table xmlns="http://schemas.openxmlformats.org/spreadsheetml/2006/main" id="52" name="Table221" displayName="Table221" ref="AD2:AF12" totalsRowShown="0" dataDxfId="1193">
  <autoFilter ref="AD2:AF12"/>
  <tableColumns count="3">
    <tableColumn id="1" name="البيان" dataDxfId="1193"/>
    <tableColumn id="2" name="الناتج" dataDxfId="1194"/>
    <tableColumn id="3" name="Column1" dataDxfId="1193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1138" totalsRowDxfId="1137"/>
    <tableColumn id="2" name="ميزان"/>
    <tableColumn id="3" name="بيان"/>
    <tableColumn id="4" name="سعر"/>
    <tableColumn id="5" name="Column5" totalsRowFunction="sum" totalsRowDxfId="1127">
      <calculatedColumnFormula>Table12[[#This Row],[سعر]]*Table12[[#This Row],[ميزان]]*Table12[[#This Row],[عدد]]</calculatedColumnFormula>
    </tableColumn>
    <tableColumn id="6" name="Column6" totalsRowFunction="custom" totalsRowDxfId="1127">
      <calculatedColumnFormula>16*3.14*Table12[[#This Row],[عدد]]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42" name="Table161243" displayName="Table161243" ref="I30:S44" totalsRowCount="1" headerRowDxfId="49" dataDxfId="49" totalsRowDxfId="49">
  <autoFilter ref="I30:S43"/>
  <tableColumns count="11">
    <tableColumn id="2" name="الايام" dataDxfId="81" totalsRowDxfId="21"/>
    <tableColumn id="3" name="بيان" totalsRowLabel="Total" dataDxfId="1117" totalsRowDxfId="21"/>
    <tableColumn id="5" name="اليومية / الاجرة" dataDxfId="106" totalsRowDxfId="21"/>
    <tableColumn id="6" name="بدل الوجبة" dataDxfId="104" totalsRowDxfId="21">
      <calculatedColumnFormula>SUMIF(Table17[Column1],Table161243[[#This Row],[موقع العمل]],$R$2:$R$20)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SUMIF(Table17[Column1],Table161243[[#This Row],[موقع العمل]],#REF!)</calculatedColumnFormula>
    </tableColumn>
    <tableColumn id="4" name="عدد الايام" dataDxfId="96" totalsRowDxfId="21">
      <calculatedColumnFormula>IF((Sheet2!#REF!="A1"),1,IF((Sheet2!#REF!="A2"),1,IF((Sheet2!#REF!="A3"),1,IF((Sheet2!#REF!="B1"),1,IF((Sheet2!#REF!="B2"),1,IF((Sheet2!#REF!="B3"),1,0))))))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P31*Q31</calculatedColumnFormula>
    </tableColumn>
    <tableColumn id="9" name="%" totalsRowFunction="custom" dataDxfId="16" totalsRowDxfId="15" dataCellStyle="Percent">
      <calculatedColumnFormula>(R31)/$G$84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id="55" name="Table1856" displayName="Table1856" ref="J47:N51" totalsRowShown="0" headerRowDxfId="49" dataDxfId="49">
  <autoFilter ref="J47:N51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IF((M39="المقطم"),0.3,IF((M39="التجمع"),0.3,IF((M39="الشيخ زايد"),0.3,IF((M39="الاسكندرية"),0.5,IF((M39="الساحل"),0.5,0.35)))))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5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138" totalsRowDxfId="1137"/>
    <tableColumn id="2" name="ميزان"/>
    <tableColumn id="3" name="بيان"/>
    <tableColumn id="4" name="سعر"/>
    <tableColumn id="5" name="Column5" totalsRowFunction="sum" totalsRowDxfId="1127">
      <calculatedColumnFormula>Table1257[[#This Row],[سعر]]*Table1257[[#This Row],[ميزان]]*Table1257[[#This Row],[عدد]]</calculatedColumnFormula>
    </tableColumn>
    <tableColumn id="6" name="Column6" totalsRowFunction="custom" totalsRowDxfId="1127">
      <calculatedColumnFormula>16*3.14*Table1257[[#This Row],[عدد]]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id="59" name="Table16124360" displayName="Table16124360" ref="I63:S77" totalsRowCount="1" headerRowDxfId="49" dataDxfId="49" totalsRowDxfId="49">
  <autoFilter ref="I63:S76"/>
  <tableColumns count="11">
    <tableColumn id="2" name="عدد" dataDxfId="81" totalsRowDxfId="21"/>
    <tableColumn id="3" name="بيان" totalsRowLabel="Total" dataDxfId="1117" totalsRowDxfId="21"/>
    <tableColumn id="5" name="اليومية / الاجرة" dataDxfId="106" totalsRowDxfId="21"/>
    <tableColumn id="6" name="بدل الوجبة" dataDxfId="104" totalsRowDxfId="21">
      <calculatedColumnFormula>SUMIF(Table17[Column1],Table16124360[[#This Row],[موقع العمل]],$R$2:$R$20)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SUMIF(Table17[Column1],Table16124360[[#This Row],[موقع العمل]],#REF!)</calculatedColumnFormula>
    </tableColumn>
    <tableColumn id="4" name="عدد الايام" dataDxfId="96" totalsRowDxfId="21">
      <calculatedColumnFormula>IF((Sheet2!#REF!="A1"),1,IF((Sheet2!#REF!="A2"),1,IF((Sheet2!#REF!="A3"),1,IF((Sheet2!#REF!="B1"),1,IF((Sheet2!#REF!="B2"),1,IF((Sheet2!#REF!="B3"),1,0))))))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P64*Q64</calculatedColumnFormula>
    </tableColumn>
    <tableColumn id="9" name="%" totalsRowFunction="custom" dataDxfId="16" totalsRowDxfId="15" dataCellStyle="Percent">
      <calculatedColumnFormula>(R64)/$G$84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id="64" name="Table185665" displayName="Table185665" ref="J80:N84" totalsRowShown="0" headerRowDxfId="49" dataDxfId="49">
  <autoFilter ref="J80:N84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IF((M72="المقطم"),0.3,IF((M72="التجمع"),0.3,IF((M72="الشيخ زايد"),0.3,IF((M72="الاسكندرية"),0.5,IF((M72="الساحل"),0.5,0.35)))))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id="22" name="Table823" displayName="Table823" ref="A2:J17" totalsRowCount="1" dataDxfId="27" totalsRowBorderDxfId="1087" dataCellStyle="Normal 2">
  <autoFilter ref="A2:J16"/>
  <tableColumns count="10">
    <tableColumn id="7" name="Column7" totalsRowLabel="Total" dataDxfId="27" totalsRowDxfId="1067" dataCellStyle="Normal 2"/>
    <tableColumn id="6" name="الطول بالمتر" dataDxfId="27" totalsRowDxfId="1067" dataCellStyle="Normal 2"/>
    <tableColumn id="5" name="وزن المتر " dataDxfId="27" totalsRowDxfId="1067" dataCellStyle="Normal 2"/>
    <tableColumn id="4" name="سعر الكيلو" dataDxfId="27" totalsRowDxfId="1067" dataCellStyle="Normal 2"/>
    <tableColumn id="3" name="اجمالي عدد " totalsRowFunction="custom" dataDxfId="27" totalsRowDxfId="1067" dataCellStyle="Normal 2">
      <totalsRowFormula>Table823[[#Totals],[اجمالي التكلفة]]/B1</totalsRowFormula>
    </tableColumn>
    <tableColumn id="2" name="اجمالي التكلفة" totalsRowFunction="sum" dataDxfId="1076" totalsRowDxfId="1075" dataCellStyle="Normal 2"/>
    <tableColumn id="9" name="Column1" dataDxfId="27" totalsRowDxfId="1067" dataCellStyle="Normal 2"/>
    <tableColumn id="10" name="Column2" dataDxfId="27" totalsRowDxfId="1067" dataCellStyle="Normal 2"/>
    <tableColumn id="11" name="Column3" dataDxfId="27" totalsRowDxfId="1067" dataCellStyle="Normal 2"/>
    <tableColumn id="12" name="Column4" dataDxfId="27" totalsRowDxfId="1067" dataCellStyle="Normal 2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51" totalsRowCount="1" headerRowDxfId="49" dataDxfId="49" totalsRowDxfId="49">
  <autoFilter ref="A34:L50"/>
  <tableColumns count="12">
    <tableColumn id="1" name="م" totalsRowLabel="Total" dataDxfId="21" totalsRowDxfId="21"/>
    <tableColumn id="2" name="عدد" dataDxfId="22" totalsRowDxfId="21">
      <calculatedColumnFormula>Y5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B35*J35</calculatedColumnFormula>
    </tableColumn>
    <tableColumn id="9" name="%" totalsRowFunction="custom" dataDxfId="1380" totalsRowDxfId="871" dataCellStyle="Percent">
      <calculatedColumnFormula>(K35)/#REF!</calculatedColumnFormula>
      <totalsRowFormula>Table13[[#Totals],[اجمالي]]/$G$81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25" name="Table135926" displayName="Table135926" ref="L25:W48" totalsRowCount="1" headerRowDxfId="49" dataDxfId="49" totalsRowDxfId="49">
  <autoFilter ref="L25:W47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M26*U26</calculatedColumnFormula>
    </tableColumn>
    <tableColumn id="9" name="%" totalsRowFunction="custom" dataDxfId="16" totalsRowDxfId="871" dataCellStyle="Percent">
      <calculatedColumnFormula>(V26)/$R$74</calculatedColumnFormula>
      <totalsRowFormula>Table135926[[#Totals],[اجمالي]]/$R$74</totalsRowFormula>
    </tableColumn>
  </tableColumns>
  <tableStyleInfo name="TableStyleLight16" showFirstColumn="0" showLastColumn="0" showRowStripes="1" showColumnStripes="0"/>
</table>
</file>

<file path=xl/tables/table61.xml><?xml version="1.0" encoding="utf-8"?>
<table xmlns="http://schemas.openxmlformats.org/spreadsheetml/2006/main" id="39" name="Table156140" displayName="Table156140" ref="L10:W18" totalsRowCount="1" headerRowDxfId="49" dataDxfId="49" totalsRowDxfId="49">
  <autoFilter ref="L10:W17"/>
  <sortState ref="L11:W27">
    <sortCondition ref="L10:L27"/>
  </sortState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M11*U11</calculatedColumnFormula>
    </tableColumn>
    <tableColumn id="9" name="%" totalsRowFunction="custom" dataDxfId="16" totalsRowDxfId="871" dataCellStyle="Percent">
      <calculatedColumnFormula>(V11)/$R$74</calculatedColumnFormula>
      <totalsRowFormula>Table156140[[#Totals],[اجمالي]]/$R$74</totalsRowFormula>
    </tableColumn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id="40" name="Table166241" displayName="Table166241" ref="L20:W23" totalsRowCount="1" headerRowDxfId="49" dataDxfId="49" totalsRowDxfId="49">
  <autoFilter ref="L20:W22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(Table166241[[#This Row],[Column1]]+Table166241[[#This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(S21*M21)+(M22*S22)</totalsRowFormula>
    </tableColumn>
    <tableColumn id="6" name="سعر الكيلو" dataDxfId="22" totalsRowDxfId="21"/>
    <tableColumn id="7" name="سعر الشبك " dataDxfId="136" totalsRowDxfId="19">
      <calculatedColumnFormula>S21*$S$2/1000</calculatedColumnFormula>
    </tableColumn>
    <tableColumn id="8" name="اجمالي" totalsRowFunction="sum" dataDxfId="17" totalsRowDxfId="17">
      <calculatedColumnFormula>M21*U21</calculatedColumnFormula>
    </tableColumn>
    <tableColumn id="9" name="%" totalsRowFunction="custom" dataDxfId="16" totalsRowDxfId="871" dataCellStyle="Percent">
      <calculatedColumnFormula>(V21)/$R$74</calculatedColumnFormula>
      <totalsRowFormula>Table166241[[#Totals],[اجمالي]]/$R$74</totalsRowFormula>
    </tableColumn>
  </tableColumns>
  <tableStyleInfo name="TableStyleLight16" showFirstColumn="0" showLastColumn="0" showRowStripes="1" showColumnStripes="0"/>
</table>
</file>

<file path=xl/tables/table63.xml><?xml version="1.0" encoding="utf-8"?>
<table xmlns="http://schemas.openxmlformats.org/spreadsheetml/2006/main" id="41" name="Table66342" displayName="Table66342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(Table1[[#Totals],[المسطح]]+Table14[[#Totals],[Column12]]+Table16[[#Totals],[Column12]]+1)*Table66342[[#This Row],[المعدل]]</calculatedColumnFormula>
    </tableColumn>
  </tableColumns>
  <tableStyleInfo name="TableStyleLight16" showFirstColumn="0" showLastColumn="0" showRowStripes="1" showColumnStripes="0"/>
</table>
</file>

<file path=xl/tables/table64.xml><?xml version="1.0" encoding="utf-8"?>
<table xmlns="http://schemas.openxmlformats.org/spreadsheetml/2006/main" id="43" name="Table16126744" displayName="Table16126744" ref="L57:W71" totalsRowCount="1" headerRowDxfId="49" dataDxfId="49" totalsRowDxfId="49">
  <autoFilter ref="L57:W70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SUMIF(Table17[Column1],Table16126744[[#This Row],[موقع العمل]],$R$2:$R$8)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SUMIF(Table17[Column1],Table16126744[[#This Row],[موقع العمل]],Z2:Z20)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M58*U58</calculatedColumnFormula>
    </tableColumn>
    <tableColumn id="9" name="%" totalsRowFunction="custom" dataDxfId="16" totalsRowDxfId="15" dataCellStyle="Percent">
      <calculatedColumnFormula>(V58)/$R$74</calculatedColumnFormula>
      <totalsRowFormula>Table16126744[[#Totals],[اجمالي]]/$R$74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44" name="Table16136845" displayName="Table16136845" ref="L51:W55" totalsRowCount="1" headerRowDxfId="49" dataDxfId="49" totalsRowDxfId="49">
  <autoFilter ref="L51:W54"/>
  <tableColumns count="12">
    <tableColumn id="1" name="م" totalsRowLabel="Total" dataDxfId="67" totalsRowDxfId="21"/>
    <tableColumn id="2" name="عدد" dataDxfId="81" totalsRowDxfId="21">
      <calculatedColumnFormula>IF((Q67="الاسكندرية"),0.25,0.1)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M52*Table16136845[[#This Row],[سعر الشبك ]]</calculatedColumnFormula>
    </tableColumn>
    <tableColumn id="9" name="%" totalsRowFunction="custom" dataDxfId="16" totalsRowDxfId="871" dataCellStyle="Percent">
      <calculatedColumnFormula>(V52)/$R$74</calculatedColumnFormula>
      <totalsRowFormula>Table16136845[[#Totals],[اجمالي]]/$R$74</totalsRow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45" name="Table176946" displayName="Table176946" ref="Y1:AE20" totalsRowShown="0" headerRowDxfId="51" dataDxfId="51">
  <autoFilter ref="Y1:AE20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id="53" name="Table187054" displayName="Table187054" ref="N73:R75" totalsRowShown="0" headerRowDxfId="49" dataDxfId="49">
  <autoFilter ref="N73:R75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IF((Q69="المقطم"),0.3,IF((Q69="التجمع"),0.3,IF((Q69="الشيخ زايد"),0.3,IF((Q69="الاسكندرية"),0.5,0.35))))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54" name="Table15855" displayName="Table15855" ref="L5:W8" totalsRowCount="1" headerRowDxfId="41" dataDxfId="41">
  <autoFilter ref="L5:W7"/>
  <sortState ref="L6:W33">
    <sortCondition ref="L5:L33"/>
  </sortState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(Table15855[[#This Row],[Column1]]+Table15855[[#This Row],[Column2]])*12*Table15855[[#This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(S7*M7)</totalsRowFormula>
    </tableColumn>
    <tableColumn id="6" name="سعر الكيلو" dataDxfId="22" totalsRowDxfId="21"/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871" dataCellStyle="Percent">
      <calculatedColumnFormula>(V6)/$R$74</calculatedColumnFormula>
      <totalsRowFormula>Table15855[[#Totals],[اجمالي]]/$R$74</totalsRow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6" totalsRowCount="1" headerRowDxfId="49" dataDxfId="49" totalsRowDxfId="49">
  <autoFilter ref="L27:W45"/>
  <tableColumns count="12">
    <tableColumn id="1" name="م" totalsRowLabel="Total" dataDxfId="21" totalsRowDxfId="21"/>
    <tableColumn id="2" name="عدد" dataDxfId="22" totalsRowDxfId="21">
      <calculatedColumnFormula>AM5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M28*U28</calculatedColumnFormula>
    </tableColumn>
    <tableColumn id="9" name="%" totalsRowFunction="custom" dataDxfId="16" totalsRowDxfId="15" dataCellStyle="Percent">
      <calculatedColumnFormula>(V28)/$R$71</calculatedColumnFormula>
      <totalsRowFormula>Table135971[[#Totals],[اجمالي]]/$R$71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 headerRowDxfId="49" dataDxfId="49" totalsRowDxfId="49">
  <autoFilter ref="A11:L13"/>
  <tableColumns count="12">
    <tableColumn id="1" name="م" totalsRowLabel="Total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2" totalsRowDxfId="21">
      <calculatedColumnFormula>(Table14[[#This Row],[Column1]]+Table14[[#This Row],[Column2]])*12*Table14[[#This Row],[عدد]]</calculatedColumnFormula>
    </tableColumn>
    <tableColumn id="4" name="الوحده" dataDxfId="21" totalsRowDxfId="21"/>
    <tableColumn id="5" name="الوزن" totalsRowFunction="custom" dataDxfId="21" totalsRowDxfId="21">
      <totalsRowFormula>H12*B12+H13*B13</totalsRowFormula>
    </tableColumn>
    <tableColumn id="6" name="مسطح" dataDxfId="22" totalsRowDxfId="21">
      <calculatedColumnFormula>$I$2/1000</calculatedColumnFormula>
    </tableColumn>
    <tableColumn id="7" name="سعر الشبك " dataDxfId="136" totalsRowDxfId="20"/>
    <tableColumn id="8" name="اجمالي" totalsRowFunction="sum" dataDxfId="17" totalsRowDxfId="17">
      <calculatedColumnFormula>B12*J12</calculatedColumnFormula>
    </tableColumn>
    <tableColumn id="9" name="%" totalsRowFunction="custom" dataDxfId="1380" totalsRowDxfId="871" dataCellStyle="Percent">
      <totalsRowFormula>Table14[[#Totals],[اجمالي]]/$G$81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 headerRowDxfId="49" dataDxfId="49" totalsRowDxfId="49">
  <autoFilter ref="L13:W18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M14*U14</calculatedColumnFormula>
    </tableColumn>
    <tableColumn id="9" name="%" totalsRowFunction="custom" dataDxfId="16" totalsRowDxfId="15" dataCellStyle="Percent">
      <calculatedColumnFormula>(V14)/$R$71</calculatedColumnFormula>
      <totalsRowFormula>Table156172[[#Totals],[اجمالي]]/$R$71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 headerRowDxfId="49" dataDxfId="49" totalsRowDxfId="49">
  <autoFilter ref="L21:W24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(Table166273[[#This Row],[Column1]]+Table166273[[#This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(S23*M23)+(M24*S24)</totalsRowFormula>
    </tableColumn>
    <tableColumn id="6" name="سعر الكيلو" dataDxfId="22" totalsRowDxfId="21"/>
    <tableColumn id="7" name="سعر الشبك " dataDxfId="136" totalsRowDxfId="19">
      <calculatedColumnFormula>S22*$S$2/1000</calculatedColumnFormula>
    </tableColumn>
    <tableColumn id="8" name="اجمالي" totalsRowFunction="sum" dataDxfId="17" totalsRowDxfId="17">
      <calculatedColumnFormula>M22*U22</calculatedColumnFormula>
    </tableColumn>
    <tableColumn id="9" name="%" totalsRowFunction="custom" dataDxfId="16" totalsRowDxfId="15" dataCellStyle="Percent">
      <calculatedColumnFormula>(V22)/$R$70</calculatedColumnFormula>
      <totalsRowFormula>Table166273[[#Totals],[اجمالي]]/$R$71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8" totalsRowShown="0" headerRowDxfId="124" dataDxfId="51">
  <autoFilter ref="AJ4:AM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(Table1[[#Totals],[المسطح]]+Table14[[#Totals],[Column12]]+Table16[[#Totals],[Column12]]+1)*Table66374[[#This Row],[المعدل]]</calculatedColumn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 headerRowDxfId="124" dataDxfId="51">
  <autoFilter ref="AO4:AS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4:W68" totalsRowCount="1" headerRowDxfId="49" dataDxfId="49" totalsRowDxfId="49">
  <autoFilter ref="L54:W67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SUMIF(Table17[Column1],Table16126776[[#This Row],[موقع العمل]],Z2:Z28)</calculatedColumnFormula>
    </tableColumn>
    <tableColumn id="4" name="عدد الايام" dataDxfId="96" totalsRowDxfId="21">
      <calculatedColumnFormula>IF((Sheet2!S3="A1"),1,IF((Sheet2!S3="A2"),1,IF((Sheet2!S3="A3"),1,IF((Sheet2!S3="B1"),1,IF((Sheet2!S3="B2"),1,IF((Sheet2!S3="B3"),1,0))))))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M55*U55</calculatedColumnFormula>
    </tableColumn>
    <tableColumn id="9" name="%" totalsRowFunction="custom" dataDxfId="16" totalsRowDxfId="15" dataCellStyle="Percent">
      <calculatedColumnFormula>(V55)/$R$71</calculatedColumnFormula>
      <totalsRowFormula>Table16126776[[#Totals],[اجمالي]]/$R$71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9:W52" totalsRowCount="1" headerRowDxfId="49" dataDxfId="49" totalsRowDxfId="49">
  <autoFilter ref="L49:W51"/>
  <tableColumns count="12">
    <tableColumn id="1" name="م" totalsRowLabel="Total" dataDxfId="67" totalsRowDxfId="21"/>
    <tableColumn id="2" name="عدد" dataDxfId="81" totalsRowDxfId="21">
      <calculatedColumnFormula>IF((Q65="الاسكندرية"),0.25,0.1)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M50*Table16136877[[#This Row],[سعر الشبك ]]</calculatedColumnFormula>
    </tableColumn>
    <tableColumn id="9" name="%" totalsRowFunction="custom" dataDxfId="16" totalsRowDxfId="15" dataCellStyle="Percent">
      <calculatedColumnFormula>(V50)/$R$72</calculatedColumnFormula>
      <totalsRowFormula>Table16136877[[#Totals],[اجمالي]]/$R$71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 headerRowDxfId="51" dataDxfId="51">
  <autoFilter ref="Y1:AE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70:R72" totalsRowShown="0" headerRowDxfId="49" dataDxfId="49">
  <autoFilter ref="N70:R7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IF((Q66="المقطم"),0.3,IF((Q66="التجمع"),0.3,IF((Q66="الشيخ زايد"),0.3,IF((Q66="الاسكندرية"),0.5,0.35))))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 headerRowDxfId="41" dataDxfId="41">
  <autoFilter ref="L5:W10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(Table15880[[#This Row],[Column1]]+Table15880[[#This Row],[Column2]])*12*Table15880[[#This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(S6*M6)+(S7*M7)+(M8*S8)+(S9*M9)</totalsRowFormula>
    </tableColumn>
    <tableColumn id="6" name="اجمالي المسطح" totalsRowFunction="sum" dataDxfId="22" totalsRowDxfId="21">
      <calculatedColumnFormula>Table15880[[#This Row],[المسطح]]*Table15880[[#This Row],[عدد]]</calculatedColumnFormula>
    </tableColumn>
    <tableColumn id="7" name="سعر الشبك " dataDxfId="20" totalsRowDxfId="19">
      <calculatedColumnFormula>S6*$S$2/1000</calculatedColumnFormula>
    </tableColumn>
    <tableColumn id="8" name="اجمالي" totalsRowFunction="sum" dataDxfId="17" totalsRowDxfId="17">
      <calculatedColumnFormula>M6*U6</calculatedColumnFormula>
    </tableColumn>
    <tableColumn id="9" name="%" totalsRowFunction="custom" dataDxfId="16" totalsRowDxfId="15" dataCellStyle="Percent">
      <calculatedColumnFormula>(V6)/$R$71</calculatedColumnFormula>
      <totalsRowFormula>Table15880[[#Totals],[اجمالي]]/$R$71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80" name="Table80" displayName="Table80" ref="A2:F23" totalsRowCount="1" headerRowDxfId="14" dataDxfId="1" totalsRowDxfId="12">
  <autoFilter ref="A2:F22"/>
  <tableColumns count="6">
    <tableColumn id="1" name="Column1" totalsRowLabel="Total" dataDxfId="1" totalsRowDxfId="10"/>
    <tableColumn id="2" name="عدد" totalsRowFunction="custom" dataDxfId="1" totalsRowDxfId="8">
      <totalsRowFormula>(Table80[[#Totals],[price]]*1.1)/(F1*D1/10000)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 headerRowDxfId="49" dataDxfId="49" totalsRowDxfId="49">
  <autoFilter ref="A16:L26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B17*J17</calculatedColumnFormula>
    </tableColumn>
    <tableColumn id="9" name="%" totalsRowFunction="custom" dataDxfId="1380" totalsRowDxfId="1292" dataCellStyle="Percent">
      <calculatedColumnFormula>(K17)/$G$81</calculatedColumnFormula>
      <totalsRowFormula>Table15[[#Totals],[اجمالي]]/$G$81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1" name="Table13597192" displayName="Table13597192" ref="L101:W120" totalsRowCount="1" headerRowDxfId="49" dataDxfId="49" totalsRowDxfId="49">
  <autoFilter ref="L101:W119"/>
  <tableColumns count="12">
    <tableColumn id="1" name="م" totalsRowLabel="Total" dataDxfId="21" totalsRowDxfId="21"/>
    <tableColumn id="2" name="عدد" dataDxfId="22" totalsRowDxfId="21">
      <calculatedColumnFormula>AM83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M102*U102</calculatedColumnFormula>
    </tableColumn>
    <tableColumn id="9" name="%" totalsRowFunction="custom" dataDxfId="16" totalsRowDxfId="15" dataCellStyle="Percent">
      <calculatedColumnFormula>(V102)/$R$71</calculatedColumnFormula>
      <totalsRowFormula>Table13597192[[#Totals],[اجمالي]]/$R$71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2" name="Table15617293" displayName="Table15617293" ref="L87:W93" totalsRowCount="1" headerRowDxfId="49" dataDxfId="49" totalsRowDxfId="49">
  <autoFilter ref="L87:W92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M88*U88</calculatedColumnFormula>
    </tableColumn>
    <tableColumn id="9" name="%" totalsRowFunction="custom" dataDxfId="16" totalsRowDxfId="15" dataCellStyle="Percent">
      <calculatedColumnFormula>(V88)/$R$71</calculatedColumnFormula>
      <totalsRowFormula>Table15617293[[#Totals],[اجمالي]]/$R$71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3" name="Table16627394" displayName="Table16627394" ref="L95:W99" totalsRowCount="1" headerRowDxfId="49" dataDxfId="49" totalsRowDxfId="49">
  <autoFilter ref="L95:W98"/>
  <tableColumns count="12">
    <tableColumn id="1" name="م" totalsRowLabel="Total" dataDxfId="21" totalsRowDxfId="21"/>
    <tableColumn id="2" name="عدد" totalsRowFunction="sum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(Table16627394[[#This Row],[Column1]]+Table16627394[[#This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(S97*M97)+(M98*S98)</totalsRowFormula>
    </tableColumn>
    <tableColumn id="6" name="سعر الكيلو" dataDxfId="22" totalsRowDxfId="21"/>
    <tableColumn id="7" name="سعر الشبك " dataDxfId="136" totalsRowDxfId="19">
      <calculatedColumnFormula>S96*$S$2/1000</calculatedColumnFormula>
    </tableColumn>
    <tableColumn id="8" name="اجمالي" totalsRowFunction="sum" dataDxfId="17" totalsRowDxfId="17">
      <calculatedColumnFormula>M96*U96</calculatedColumnFormula>
    </tableColumn>
    <tableColumn id="9" name="%" totalsRowFunction="custom" dataDxfId="16" totalsRowDxfId="15" dataCellStyle="Percent">
      <calculatedColumnFormula>(V96)/$R$71</calculatedColumnFormula>
      <totalsRowFormula>Table16627394[[#Totals],[اجمالي]]/$R$71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4" name="Table6637495" displayName="Table6637495" ref="AJ82:AM96" totalsRowShown="0" headerRowDxfId="124" dataDxfId="51">
  <autoFilter ref="AJ82:AM96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(Table1[[#Totals],[المسطح]]+Table14[[#Totals],[Column12]]+Table16[[#Totals],[Column12]]+1)*Table6637495[[#This Row],[المعدل]]</calculatedColumn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5" name="Table7647596" displayName="Table7647596" ref="AO82:AS97" totalsRowShown="0" headerRowDxfId="124" dataDxfId="51">
  <autoFilter ref="AO82:AS97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6" name="Table1612677697" displayName="Table1612677697" ref="L128:W142" totalsRowCount="1" headerRowDxfId="49" dataDxfId="49" totalsRowDxfId="49">
  <autoFilter ref="L128:W141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SUMIF(Table17[Column1],Table1612677697[[#This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SUMIF(Table17[Column1],Table1612677697[[#This Row],[موقع العمل]],Z80:Z106)</calculatedColumnFormula>
    </tableColumn>
    <tableColumn id="4" name="عدد الايام" dataDxfId="96" totalsRowDxfId="21">
      <calculatedColumnFormula>IF((Sheet2!S81="A1"),1,IF((Sheet2!S81="A2"),1,IF((Sheet2!S81="A3"),1,IF((Sheet2!S81="B1"),1,IF((Sheet2!S81="B2"),1,IF((Sheet2!S81="B3"),1,0))))))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M129*U129</calculatedColumnFormula>
    </tableColumn>
    <tableColumn id="9" name="%" totalsRowFunction="custom" dataDxfId="16" totalsRowDxfId="15" dataCellStyle="Percent">
      <calculatedColumnFormula>(V129)/$R$71</calculatedColumnFormula>
      <totalsRowFormula>Table1612677697[[#Totals],[اجمالي]]/$R$71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7" name="Table1613687798" displayName="Table1613687798" ref="L123:W126" totalsRowCount="1" headerRowDxfId="49" dataDxfId="49" totalsRowDxfId="49">
  <autoFilter ref="L123:W125"/>
  <tableColumns count="12">
    <tableColumn id="1" name="م" totalsRowLabel="Total" dataDxfId="67" totalsRowDxfId="21"/>
    <tableColumn id="2" name="عدد" dataDxfId="81" totalsRowDxfId="21">
      <calculatedColumnFormula>IF((Q139="الاسكندرية"),0.25,0.1)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M124*Table1613687798[[#This Row],[سعر الشبك ]]</calculatedColumnFormula>
    </tableColumn>
    <tableColumn id="9" name="%" totalsRowFunction="custom" dataDxfId="16" totalsRowDxfId="15" dataCellStyle="Percent">
      <calculatedColumnFormula>(V124)/$R$71</calculatedColumnFormula>
      <totalsRowFormula>Table1613687798[[#Totals],[اجمالي]]/$R$71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8" name="Table17697899" displayName="Table17697899" ref="Y79:AE106" totalsRowShown="0" headerRowDxfId="51" dataDxfId="51">
  <autoFilter ref="Y79:AE106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99" name="Table187079100" displayName="Table187079100" ref="N144:R146" totalsRowShown="0" headerRowDxfId="49" dataDxfId="49">
  <autoFilter ref="N144:R146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IF((Q140="المقطم"),0.3,IF((Q140="التجمع"),0.3,IF((Q140="الشيخ زايد"),0.3,IF((Q140="الاسكندرية"),0.5,0.35))))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100" name="Table15880101" displayName="Table15880101" ref="L79:W85" totalsRowCount="1" headerRowDxfId="41" dataDxfId="41">
  <autoFilter ref="L79:W84"/>
  <tableColumns count="12">
    <tableColumn id="1" name="م" dataDxfId="21" totalsRowDxfId="21"/>
    <tableColumn id="2" name="عدد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المسطح" totalsRowFunction="sum" dataDxfId="28" totalsRowDxfId="27">
      <calculatedColumnFormula>(Table15880101[[#This Row],[Column1]]+Table15880101[[#This Row],[Column2]])*12*Table15880101[[#This Row],[عدد]]</calculatedColumnFormula>
    </tableColumn>
    <tableColumn id="4" name="الوحده" dataDxfId="21" totalsRowDxfId="21"/>
    <tableColumn id="5" name="الوزن" totalsRowFunction="custom" dataDxfId="21" totalsRowDxfId="21">
      <totalsRowFormula>(S80*M80)+(S81*M81)+(M82*S82)+(S83*M83)</totalsRowFormula>
    </tableColumn>
    <tableColumn id="6" name="اجمالي المسطح" totalsRowFunction="sum" dataDxfId="22" totalsRowDxfId="21">
      <calculatedColumnFormula>Table15880101[[#This Row],[المسطح]]*Table15880101[[#This Row],[عدد]]</calculatedColumnFormula>
    </tableColumn>
    <tableColumn id="7" name="سعر الشبك " dataDxfId="20" totalsRowDxfId="19">
      <calculatedColumnFormula>S80*$S$2/1000</calculatedColumnFormula>
    </tableColumn>
    <tableColumn id="8" name="اجمالي" totalsRowFunction="sum" dataDxfId="17" totalsRowDxfId="17">
      <calculatedColumnFormula>M80*U80</calculatedColumnFormula>
    </tableColumn>
    <tableColumn id="9" name="%" totalsRowFunction="custom" dataDxfId="16" totalsRowDxfId="15" dataCellStyle="Percent">
      <calculatedColumnFormula>(V80)/$R$71</calculatedColumnFormula>
      <totalsRowFormula>Table15880101[[#Totals],[اجمالي]]/$R$71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 headerRowDxfId="49" dataDxfId="49" totalsRowDxfId="49">
  <autoFilter ref="A29:L31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(Table16[[#This Row],[Column1]]+Table16[[#This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H30*B30+H31*B31</totalsRowFormula>
    </tableColumn>
    <tableColumn id="6" name="Column3" dataDxfId="22" totalsRowDxfId="21">
      <calculatedColumnFormula>Table16[[#This Row],[Column12]]*Table16[[#This Row],[عدد]]</calculatedColumnFormula>
    </tableColumn>
    <tableColumn id="7" name="سعر الشبك " dataDxfId="136" totalsRowDxfId="19"/>
    <tableColumn id="8" name="اجمالي" totalsRowFunction="sum" dataDxfId="17" totalsRowDxfId="17">
      <calculatedColumnFormula>B30*J30</calculatedColumnFormula>
    </tableColumn>
    <tableColumn id="9" name="%" totalsRowFunction="custom" dataDxfId="1380" totalsRowDxfId="871" dataCellStyle="Percent">
      <calculatedColumnFormula>(K30)/$G$84</calculatedColumnFormula>
      <totalsRowFormula>Table16[[#Totals],[اجمالي]]/$G$81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101" name="Table80102" displayName="Table80102" ref="A80:F101" totalsRowCount="1" headerRowDxfId="14" dataDxfId="1" totalsRowDxfId="12">
  <autoFilter ref="A80:F100"/>
  <tableColumns count="6">
    <tableColumn id="1" name="Column1" totalsRowLabel="Total" dataDxfId="1" totalsRowDxfId="10"/>
    <tableColumn id="2" name="عدد" totalsRowFunction="custom" dataDxfId="1" totalsRowDxfId="8">
      <totalsRowFormula>(Table80102[[#Totals],[price]]*1.1)/(F79*D79/10000)</totalsRowFormula>
    </tableColumn>
    <tableColumn id="3" name="طول" dataDxfId="1" totalsRowDxfId="0"/>
    <tableColumn id="4" name="Column2" dataDxfId="1" totalsRowDxfId="0"/>
    <tableColumn id="5" name="wt/m" dataDxfId="1" totalsRowDxfId="0"/>
    <tableColumn id="6" name="price" totalsRowFunction="sum" dataDxfId="1" totalsRowDxfId="0"/>
  </tableColumns>
  <tableStyleInfo name="TableStyleLight17" showFirstColumn="0" showLastColumn="0" showRowStripes="1" showColumnStripes="0"/>
</table>
</file>

<file path=xl/tables/table91.xml><?xml version="1.0" encoding="utf-8"?>
<table xmlns="http://schemas.openxmlformats.org/spreadsheetml/2006/main" id="65" name="Table13597166" displayName="Table13597166" ref="BG27:BR46" totalsRowCount="1" headerRowDxfId="49" dataDxfId="49" totalsRowDxfId="49">
  <autoFilter ref="BG27:BR45"/>
  <tableColumns count="12">
    <tableColumn id="1" name="م" totalsRowLabel="Total" dataDxfId="21" totalsRowDxfId="21"/>
    <tableColumn id="2" name="عدد" dataDxfId="22" totalsRowDxfId="21">
      <calculatedColumnFormula>CH5</calculatedColumnFormula>
    </tableColumn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1" totalsRowDxfId="21"/>
    <tableColumn id="4" name="الوحده" totalsRowLabel="total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BH28*BP28</calculatedColumnFormula>
    </tableColumn>
    <tableColumn id="9" name="%" totalsRowFunction="custom" dataDxfId="16" totalsRowDxfId="15" dataCellStyle="Percent">
      <calculatedColumnFormula>(BQ28)/$R$71</calculatedColumnFormula>
      <totalsRowFormula>Table13597166[[#Totals],[اجمالي]]/$R$71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1" name="Table15617282" displayName="Table15617282" ref="BG13:BR19" totalsRowCount="1" headerRowDxfId="49" dataDxfId="49" totalsRowDxfId="49">
  <autoFilter ref="BG13:BR18"/>
  <tableColumns count="12">
    <tableColumn id="1" name="م" totalsRowLabel="Total" dataDxfId="21" totalsRowDxfId="21"/>
    <tableColumn id="2" name="عدد" dataDxfId="22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dataDxfId="28" totalsRowDxfId="27"/>
    <tableColumn id="4" name="الوحده" dataDxfId="21" totalsRowDxfId="21"/>
    <tableColumn id="5" name="الوزن" dataDxfId="21" totalsRowDxfId="21"/>
    <tableColumn id="6" name="سعر الكيلو" dataDxfId="21" totalsRowDxfId="21"/>
    <tableColumn id="7" name="سعر الشبك " dataDxfId="136" totalsRowDxfId="19"/>
    <tableColumn id="8" name="اجمالي" totalsRowFunction="sum" dataDxfId="17" totalsRowDxfId="17">
      <calculatedColumnFormula>BH14*BP14</calculatedColumnFormula>
    </tableColumn>
    <tableColumn id="9" name="%" totalsRowFunction="custom" dataDxfId="16" totalsRowDxfId="15" dataCellStyle="Percent">
      <calculatedColumnFormula>(BQ14)/$R$71</calculatedColumnFormula>
      <totalsRowFormula>Table15617282[[#Totals],[اجمالي]]/$R$71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2" name="Table16627383" displayName="Table16627383" ref="BG21:BR25" totalsRowCount="1" headerRowDxfId="49" dataDxfId="49" totalsRowDxfId="49">
  <autoFilter ref="BG21:BR24"/>
  <tableColumns count="12">
    <tableColumn id="1" name="م" totalsRowLabel="Total" dataDxfId="21" totalsRowDxfId="21"/>
    <tableColumn id="2" name="عدد" totalsRowFunction="count" dataDxfId="21" totalsRowDxfId="21"/>
    <tableColumn id="3" name="بيان" totalsRowLabel="Total" dataDxfId="21" totalsRowDxfId="21"/>
    <tableColumn id="11" name="Column2" dataDxfId="21" totalsRowDxfId="21"/>
    <tableColumn id="10" name="Column1" dataDxfId="21" totalsRowDxfId="21"/>
    <tableColumn id="12" name="Column12" totalsRowFunction="sum" dataDxfId="28" totalsRowDxfId="27">
      <calculatedColumnFormula>(Table16627383[[#This Row],[Column1]]+Table16627383[[#This Row],[Column2]])*12</calculatedColumnFormula>
    </tableColumn>
    <tableColumn id="4" name="الوحده" dataDxfId="21" totalsRowDxfId="21"/>
    <tableColumn id="5" name="الوزن" totalsRowFunction="custom" dataDxfId="21" totalsRowDxfId="21">
      <totalsRowFormula>(BN23*BH23)+(BH24*BN24)</totalsRowFormula>
    </tableColumn>
    <tableColumn id="6" name="سعر الكيلو" dataDxfId="22" totalsRowDxfId="21"/>
    <tableColumn id="7" name="سعر الشبك " dataDxfId="136" totalsRowDxfId="19">
      <calculatedColumnFormula>BN22*$S$2/1000</calculatedColumnFormula>
    </tableColumn>
    <tableColumn id="8" name="اجمالي" totalsRowFunction="sum" dataDxfId="17" totalsRowDxfId="17">
      <calculatedColumnFormula>BH22*BP22</calculatedColumnFormula>
    </tableColumn>
    <tableColumn id="9" name="%" totalsRowFunction="custom" dataDxfId="16" totalsRowDxfId="15" dataCellStyle="Percent">
      <calculatedColumnFormula>(BQ22)/$R$71</calculatedColumnFormula>
      <totalsRowFormula>Table16627383[[#Totals],[اجمالي]]/$R$71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3" name="Table6637484" displayName="Table6637484" ref="CE4:CH18" totalsRowShown="0" headerRowDxfId="124" dataDxfId="51">
  <autoFilter ref="CE4:CH18"/>
  <tableColumns count="4">
    <tableColumn id="1" name="المادة" dataDxfId="51"/>
    <tableColumn id="2" name="المعدل" dataDxfId="51"/>
    <tableColumn id="3" name="الوحدة" dataDxfId="51"/>
    <tableColumn id="4" name="Column4" dataDxfId="121">
      <calculatedColumnFormula>(Table1[[#Totals],[المسطح]]+Table14[[#Totals],[Column12]]+Table16[[#Totals],[Column12]]+1)*Table6637484[[#This Row],[المعدل]]</calculatedColumn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4" name="Table7647585" displayName="Table7647585" ref="CJ4:CN19" totalsRowShown="0" headerRowDxfId="124" dataDxfId="51">
  <autoFilter ref="CJ4:CN19"/>
  <tableColumns count="5">
    <tableColumn id="1" name="Column1" dataDxfId="51"/>
    <tableColumn id="2" name="Column2" dataDxfId="121"/>
    <tableColumn id="3" name="Column3" dataDxfId="51"/>
    <tableColumn id="4" name="Column4" dataDxfId="51"/>
    <tableColumn id="5" name="Column5" dataDxfId="5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5" name="Table1612677686" displayName="Table1612677686" ref="BG54:BR68" totalsRowCount="1" headerRowDxfId="49" dataDxfId="49" totalsRowDxfId="49">
  <autoFilter ref="BG54:BR67"/>
  <tableColumns count="12">
    <tableColumn id="1" name="م" totalsRowLabel="Total" dataDxfId="21" totalsRowDxfId="21"/>
    <tableColumn id="2" name="عدد" dataDxfId="81" totalsRowDxfId="21"/>
    <tableColumn id="3" name="بيان" totalsRowLabel="Total" dataDxfId="106" totalsRowDxfId="21"/>
    <tableColumn id="5" name="اليومية / الاجرة" dataDxfId="106" totalsRowDxfId="21"/>
    <tableColumn id="6" name="بدل الوجبة" dataDxfId="104" totalsRowDxfId="21">
      <calculatedColumnFormula>SUMIF(Table17[Column1],Table1612677686[[#This Row],[موقع العمل]],$R$2:$R$11)</calculatedColumnFormula>
    </tableColumn>
    <tableColumn id="11" name="موقع العمل" dataDxfId="46" totalsRowDxfId="21"/>
    <tableColumn id="10" name="شيفت العمل" dataDxfId="21" totalsRowDxfId="21"/>
    <tableColumn id="12" name="Column12" totalsRowFunction="sum" dataDxfId="28" totalsRowDxfId="27">
      <calculatedColumnFormula>SUMIF(Table17[Column1],Table1612677686[[#This Row],[موقع العمل]],BU2:BU28)</calculatedColumnFormula>
    </tableColumn>
    <tableColumn id="4" name="عدد الايام" dataDxfId="96" totalsRowDxfId="21">
      <calculatedColumnFormula>IF((Sheet2!BN3="A1"),1,IF((Sheet2!BN3="A2"),1,IF((Sheet2!BN3="A3"),1,IF((Sheet2!BN3="B1"),1,IF((Sheet2!BN3="B2"),1,IF((Sheet2!BN3="B3"),1,0))))))</calculatedColumnFormula>
    </tableColumn>
    <tableColumn id="7" name="اجمالي التكلفة للعامل" dataDxfId="94" totalsRowDxfId="19" dataCellStyle="Normal 2"/>
    <tableColumn id="8" name="اجمالي" totalsRowFunction="sum" dataDxfId="17" totalsRowDxfId="17">
      <calculatedColumnFormula>BH55*BP55</calculatedColumnFormula>
    </tableColumn>
    <tableColumn id="9" name="%" totalsRowFunction="custom" dataDxfId="307" totalsRowDxfId="15" dataCellStyle="Percent">
      <calculatedColumnFormula>(BQ55)/$R$71</calculatedColumnFormula>
      <totalsRowFormula>Table1612677686[[#Totals],[اجمالي]]/$R$71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6" name="Table1613687787" displayName="Table1613687787" ref="BG49:BR52" totalsRowCount="1" headerRowDxfId="49" dataDxfId="49" totalsRowDxfId="49">
  <autoFilter ref="BG49:BR51"/>
  <tableColumns count="12">
    <tableColumn id="1" name="م" totalsRowLabel="Total" dataDxfId="67" totalsRowDxfId="21"/>
    <tableColumn id="2" name="عدد" dataDxfId="81" totalsRowDxfId="21">
      <calculatedColumnFormula>IF((BL65="الاسكندرية"),0.25,0.1)</calculatedColumnFormula>
    </tableColumn>
    <tableColumn id="3" name="بيان" totalsRowLabel="Total" dataDxfId="67" totalsRowDxfId="21"/>
    <tableColumn id="11" name="Column2" dataDxfId="67" totalsRowDxfId="21"/>
    <tableColumn id="10" name="Column1" dataDxfId="67" totalsRowDxfId="21"/>
    <tableColumn id="12" name="Column12" totalsRowFunction="sum" dataDxfId="73" totalsRowDxfId="27"/>
    <tableColumn id="4" name="الوحده" dataDxfId="71" totalsRowDxfId="21"/>
    <tableColumn id="5" name="الوزن" dataDxfId="67" totalsRowDxfId="21"/>
    <tableColumn id="6" name="سعر الكيلو" dataDxfId="67" totalsRowDxfId="21"/>
    <tableColumn id="7" name="سعر الشبك " dataDxfId="65" totalsRowDxfId="19"/>
    <tableColumn id="8" name="اجمالي" totalsRowFunction="sum" dataDxfId="17" totalsRowDxfId="17">
      <calculatedColumnFormula>BH50*Table1613687787[[#This Row],[سعر الشبك ]]</calculatedColumnFormula>
    </tableColumn>
    <tableColumn id="9" name="%" totalsRowFunction="custom" dataDxfId="16" totalsRowDxfId="15" dataCellStyle="Percent">
      <calculatedColumnFormula>(BQ50)/$R$71</calculatedColumnFormula>
      <totalsRowFormula>Table1613687787[[#Totals],[اجمالي]]/$R$71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7" name="Table17697888" displayName="Table17697888" ref="BT1:BZ28" totalsRowShown="0" headerRowDxfId="51" dataDxfId="51">
  <autoFilter ref="BT1:BZ28"/>
  <tableColumns count="7">
    <tableColumn id="1" name="Column1" dataDxfId="51"/>
    <tableColumn id="2" name="خارجي" dataDxfId="51"/>
    <tableColumn id="3" name="داخلي" dataDxfId="51"/>
    <tableColumn id="4" name="بدل الوجبة" dataDxfId="51"/>
    <tableColumn id="5" name="دبابة" dataDxfId="51"/>
    <tableColumn id="6" name="جامبو" dataDxfId="51"/>
    <tableColumn id="7" name="الاقامة" dataDxfId="5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88" name="Table18707989" displayName="Table18707989" ref="BI70:BM72" totalsRowShown="0" headerRowDxfId="49" dataDxfId="49">
  <autoFilter ref="BI70:BM72"/>
  <tableColumns count="5">
    <tableColumn id="1" name="Column1" dataDxfId="46"/>
    <tableColumn id="4" name="Column22" dataDxfId="46"/>
    <tableColumn id="5" name="Column23" dataDxfId="46"/>
    <tableColumn id="3" name="Column3" dataDxfId="45">
      <calculatedColumnFormula>IF((BL66="المقطم"),0.3,IF((BL66="التجمع"),0.3,IF((BL66="الشيخ زايد"),0.3,IF((BL66="الاسكندرية"),0.5,0.35))))</calculatedColumnFormula>
    </tableColumn>
    <tableColumn id="2" name="Column2" dataDxfId="44">
      <calculatedColumnFormula>Table1612[[#Totals],[اجمالي]]+#REF!+Table1611[[#Totals],[اجمالي]]+Table1610[[#Totals],[اجمالي]]+Table13[[#Totals],[اجمالي]]+Table16[[#Totals],[اجمالي]]+Table15[[#Totals],[اجمالي]]+Table14[[#Totals],[اجمالي]]+Table1[[#Totals],[اجمالي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hyperlink" Target="http://www.steel-network.com/index.php?go=SteelPricesCountry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6.xml.rels><?xml version="1.0" encoding="UTF-8" standalone="yes"?>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7.xml.rels><?xml version="1.0" encoding="UTF-8" standalone="yes"?><Relationships xmlns="http://schemas.openxmlformats.org/package/2006/relationships"><Relationship Id="rId8" Type="http://schemas.openxmlformats.org/officeDocument/2006/relationships/table" Target="../tables/table32.xml"/><Relationship Id="rId13" Type="http://schemas.openxmlformats.org/officeDocument/2006/relationships/table" Target="../tables/table37.xml"/><Relationship Id="rId3" Type="http://schemas.openxmlformats.org/officeDocument/2006/relationships/table" Target="../tables/table27.xml"/><Relationship Id="rId7" Type="http://schemas.openxmlformats.org/officeDocument/2006/relationships/table" Target="../tables/table31.xml"/><Relationship Id="rId12" Type="http://schemas.openxmlformats.org/officeDocument/2006/relationships/table" Target="../tables/table36.xml"/><Relationship Id="rId2" Type="http://schemas.openxmlformats.org/officeDocument/2006/relationships/vmlDrawing" Target="../drawings/vmlDrawing4.vml"/><Relationship Id="rId6" Type="http://schemas.openxmlformats.org/officeDocument/2006/relationships/table" Target="../tables/table30.xml"/><Relationship Id="rId11" Type="http://schemas.openxmlformats.org/officeDocument/2006/relationships/table" Target="../tables/table35.xml"/><Relationship Id="rId5" Type="http://schemas.openxmlformats.org/officeDocument/2006/relationships/table" Target="../tables/table29.xml"/><Relationship Id="rId15" Type="http://schemas.openxmlformats.org/officeDocument/2006/relationships/comments" Target="../comments2.xml"/><Relationship Id="rId10" Type="http://schemas.openxmlformats.org/officeDocument/2006/relationships/table" Target="../tables/table34.xml"/><Relationship Id="rId4" Type="http://schemas.openxmlformats.org/officeDocument/2006/relationships/table" Target="../tables/table28.xml"/><Relationship Id="rId9" Type="http://schemas.openxmlformats.org/officeDocument/2006/relationships/table" Target="../tables/table33.xml"/><Relationship Id="rId14" Type="http://schemas.openxmlformats.org/officeDocument/2006/relationships/table" Target="../tables/table38.xml"/></Relationships>
</file>

<file path=xl/worksheets/_rels/sheet18.xml.rels><?xml version="1.0" encoding="UTF-8" standalone="yes"?><Relationships xmlns="http://schemas.openxmlformats.org/package/2006/relationships"><Relationship Id="rId8" Type="http://schemas.openxmlformats.org/officeDocument/2006/relationships/table" Target="../tables/table45.xml"/><Relationship Id="rId13" Type="http://schemas.openxmlformats.org/officeDocument/2006/relationships/table" Target="../tables/table50.xml"/><Relationship Id="rId18" Type="http://schemas.openxmlformats.org/officeDocument/2006/relationships/table" Target="../tables/table55.xml"/><Relationship Id="rId3" Type="http://schemas.openxmlformats.org/officeDocument/2006/relationships/table" Target="../tables/table40.xml"/><Relationship Id="rId21" Type="http://schemas.openxmlformats.org/officeDocument/2006/relationships/table" Target="../tables/table58.xml"/><Relationship Id="rId7" Type="http://schemas.openxmlformats.org/officeDocument/2006/relationships/table" Target="../tables/table44.xml"/><Relationship Id="rId12" Type="http://schemas.openxmlformats.org/officeDocument/2006/relationships/table" Target="../tables/table49.xml"/><Relationship Id="rId17" Type="http://schemas.openxmlformats.org/officeDocument/2006/relationships/table" Target="../tables/table54.xml"/><Relationship Id="rId2" Type="http://schemas.openxmlformats.org/officeDocument/2006/relationships/table" Target="../tables/table39.xml"/><Relationship Id="rId16" Type="http://schemas.openxmlformats.org/officeDocument/2006/relationships/table" Target="../tables/table53.xml"/><Relationship Id="rId20" Type="http://schemas.openxmlformats.org/officeDocument/2006/relationships/table" Target="../tables/table57.xml"/><Relationship Id="rId6" Type="http://schemas.openxmlformats.org/officeDocument/2006/relationships/table" Target="../tables/table43.xml"/><Relationship Id="rId11" Type="http://schemas.openxmlformats.org/officeDocument/2006/relationships/table" Target="../tables/table48.xml"/><Relationship Id="rId5" Type="http://schemas.openxmlformats.org/officeDocument/2006/relationships/table" Target="../tables/table42.xml"/><Relationship Id="rId15" Type="http://schemas.openxmlformats.org/officeDocument/2006/relationships/table" Target="../tables/table52.xml"/><Relationship Id="rId10" Type="http://schemas.openxmlformats.org/officeDocument/2006/relationships/table" Target="../tables/table47.xml"/><Relationship Id="rId19" Type="http://schemas.openxmlformats.org/officeDocument/2006/relationships/table" Target="../tables/table56.xml"/><Relationship Id="rId4" Type="http://schemas.openxmlformats.org/officeDocument/2006/relationships/table" Target="../tables/table41.xml"/><Relationship Id="rId9" Type="http://schemas.openxmlformats.org/officeDocument/2006/relationships/table" Target="../tables/table46.xml"/><Relationship Id="rId14" Type="http://schemas.openxmlformats.org/officeDocument/2006/relationships/table" Target="../tables/table51.xml"/></Relationships>
</file>

<file path=xl/worksheets/_rels/sheet19.xml.rels><?xml version="1.0" encoding="UTF-8" standalone="yes"?><Relationships xmlns="http://schemas.openxmlformats.org/package/2006/relationships"><Relationship Id="rId8" Type="http://schemas.openxmlformats.org/officeDocument/2006/relationships/table" Target="../tables/table66.xml"/><Relationship Id="rId3" Type="http://schemas.openxmlformats.org/officeDocument/2006/relationships/table" Target="../tables/table61.xml"/><Relationship Id="rId7" Type="http://schemas.openxmlformats.org/officeDocument/2006/relationships/table" Target="../tables/table65.xml"/><Relationship Id="rId2" Type="http://schemas.openxmlformats.org/officeDocument/2006/relationships/table" Target="../tables/table60.xml"/><Relationship Id="rId1" Type="http://schemas.openxmlformats.org/officeDocument/2006/relationships/table" Target="../tables/table59.xml"/><Relationship Id="rId6" Type="http://schemas.openxmlformats.org/officeDocument/2006/relationships/table" Target="../tables/table64.xml"/><Relationship Id="rId5" Type="http://schemas.openxmlformats.org/officeDocument/2006/relationships/table" Target="../tables/table63.xml"/><Relationship Id="rId10" Type="http://schemas.openxmlformats.org/officeDocument/2006/relationships/table" Target="../tables/table68.xml"/><Relationship Id="rId4" Type="http://schemas.openxmlformats.org/officeDocument/2006/relationships/table" Target="../tables/table62.xml"/><Relationship Id="rId9" Type="http://schemas.openxmlformats.org/officeDocument/2006/relationships/table" Target="../tables/table67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0.xml.rels><?xml version="1.0" encoding="UTF-8" standalone="yes"?><Relationships xmlns="http://schemas.openxmlformats.org/package/2006/relationships"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Relationship Id="rId8" Type="http://schemas.openxmlformats.org/officeDocument/2006/relationships/table" Target="../tables/table76.xml"/><Relationship Id="rId3" Type="http://schemas.openxmlformats.org/officeDocument/2006/relationships/table" Target="../tables/table71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41"/>
  <sheetViews>
    <sheetView rightToLeft="1" topLeftCell="A19" zoomScale="90" zoomScaleNormal="90" zoomScaleSheetLayoutView="70" workbookViewId="0">
      <selection activeCell="B41" sqref="B41"/>
    </sheetView>
  </sheetViews>
  <sheetFormatPr defaultColWidth="9.140625" defaultRowHeight="15"/>
  <cols>
    <col min="1" max="1" width="36.28515625" customWidth="1" style="193"/>
    <col min="2" max="3" width="11" customWidth="1" style="193"/>
    <col min="4" max="4" width="18.140625" customWidth="1" style="193"/>
    <col min="5" max="6" width="9.140625" customWidth="1" style="193"/>
    <col min="7" max="9" width="11" customWidth="1" style="193"/>
    <col min="10" max="16384" width="9.140625" customWidth="1" style="193"/>
  </cols>
  <sheetData>
    <row r="1" ht="24.75" customHeight="1" s="139" customFormat="1">
      <c r="A1" s="139" t="s">
        <v>213</v>
      </c>
      <c r="B1" s="139" t="s">
        <v>194</v>
      </c>
      <c r="C1" s="139" t="s">
        <v>196</v>
      </c>
      <c r="D1" s="139" t="s">
        <v>133</v>
      </c>
      <c r="E1" s="311"/>
      <c r="F1" s="304"/>
      <c r="G1" s="568" t="s">
        <v>246</v>
      </c>
      <c r="H1" s="568"/>
      <c r="I1" s="568"/>
      <c r="J1" s="305"/>
    </row>
    <row r="2" ht="21">
      <c r="A2" s="256" t="s">
        <v>214</v>
      </c>
      <c r="B2" s="257" t="s">
        <v>195</v>
      </c>
      <c r="C2" s="257" t="s">
        <v>197</v>
      </c>
      <c r="D2" s="258" t="s">
        <v>220</v>
      </c>
      <c r="E2" s="311"/>
      <c r="F2" s="306"/>
      <c r="G2" s="193" t="s">
        <v>43</v>
      </c>
      <c r="H2" s="193" t="s">
        <v>64</v>
      </c>
      <c r="I2" s="193" t="s">
        <v>133</v>
      </c>
      <c r="J2" s="307"/>
    </row>
    <row r="3" ht="21">
      <c r="A3" s="259"/>
      <c r="B3" s="260" t="s">
        <v>247</v>
      </c>
      <c r="C3" s="260" t="s">
        <v>205</v>
      </c>
      <c r="D3" s="261" t="s">
        <v>221</v>
      </c>
      <c r="E3" s="311"/>
      <c r="F3" s="306"/>
      <c r="G3" s="19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A</v>
      </c>
      <c r="H3" s="19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A1</v>
      </c>
      <c r="I3" s="193">
        <f>Table1[[#Totals],[اجمالي]]+Table14[[#Totals],[اجمالي]]+Table15[[#Totals],[اجمالي]]+Table16[[#Totals],[اجمالي]]+Table1610[[#Totals],[اجمالي]]</f>
        <v>15052</v>
      </c>
      <c r="J3" s="307"/>
    </row>
    <row r="4" ht="21.75">
      <c r="A4" s="262"/>
      <c r="B4" s="263" t="s">
        <v>248</v>
      </c>
      <c r="C4" s="263"/>
      <c r="D4" s="264"/>
      <c r="E4" s="311"/>
      <c r="F4" s="306"/>
      <c r="G4" s="569" t="s">
        <v>249</v>
      </c>
      <c r="H4" s="569"/>
      <c r="I4" s="569"/>
      <c r="J4" s="307"/>
    </row>
    <row r="5" ht="21">
      <c r="A5" s="256" t="s">
        <v>214</v>
      </c>
      <c r="B5" s="257" t="s">
        <v>195</v>
      </c>
      <c r="C5" s="257" t="s">
        <v>197</v>
      </c>
      <c r="D5" s="258" t="s">
        <v>220</v>
      </c>
      <c r="E5" s="311"/>
      <c r="F5" s="306"/>
      <c r="G5" s="193" t="s">
        <v>43</v>
      </c>
      <c r="H5" s="193" t="s">
        <v>64</v>
      </c>
      <c r="I5" s="193" t="s">
        <v>133</v>
      </c>
      <c r="J5" s="307"/>
    </row>
    <row r="6" ht="21" customHeight="1">
      <c r="A6" s="259" t="s">
        <v>233</v>
      </c>
      <c r="B6" s="260" t="s">
        <v>247</v>
      </c>
      <c r="C6" s="260" t="s">
        <v>205</v>
      </c>
      <c r="D6" s="261" t="s">
        <v>221</v>
      </c>
      <c r="E6" s="311"/>
      <c r="F6" s="306"/>
      <c r="G6" s="19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19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F2</v>
      </c>
      <c r="I6" s="308">
        <f>Table118[[#Totals],[اجمالي]]+Table1421[[#Totals],[اجمالي]]+Table1522[[#Totals],[اجمالي]]+Table1624[[#Totals],[اجمالي]]+Table1319[[#Totals],[اجمالي]]+Table161027[[#Totals],[اجمالي]]</f>
        <v>58834.916666666664</v>
      </c>
      <c r="J6" s="307"/>
    </row>
    <row r="7" ht="21" customHeight="1">
      <c r="A7" s="265"/>
      <c r="B7" s="263" t="s">
        <v>248</v>
      </c>
      <c r="C7" s="263"/>
      <c r="D7" s="264"/>
      <c r="E7" s="311"/>
      <c r="F7" s="265"/>
      <c r="G7" s="309"/>
      <c r="H7" s="309"/>
      <c r="I7" s="309"/>
      <c r="J7" s="310"/>
    </row>
    <row r="10" ht="21">
      <c r="A10" s="570" t="s">
        <v>250</v>
      </c>
      <c r="B10" s="570"/>
    </row>
    <row r="11">
      <c r="A11" s="193" t="s">
        <v>251</v>
      </c>
      <c r="B11" s="193" t="s">
        <v>252</v>
      </c>
    </row>
    <row r="12">
      <c r="A12" s="193" t="s">
        <v>253</v>
      </c>
      <c r="B12" s="193">
        <v>46000</v>
      </c>
    </row>
    <row r="13">
      <c r="A13" s="193" t="s">
        <v>254</v>
      </c>
      <c r="B13" s="193">
        <v>57000</v>
      </c>
    </row>
    <row r="14">
      <c r="A14" s="193" t="s">
        <v>255</v>
      </c>
      <c r="B14" s="193">
        <v>152000</v>
      </c>
    </row>
    <row r="15">
      <c r="A15" s="193" t="s">
        <v>256</v>
      </c>
      <c r="B15" s="193">
        <v>40000</v>
      </c>
    </row>
    <row r="16">
      <c r="A16" s="193" t="s">
        <v>257</v>
      </c>
      <c r="B16" s="193">
        <v>225</v>
      </c>
    </row>
    <row r="17">
      <c r="A17" s="193" t="s">
        <v>258</v>
      </c>
      <c r="B17" s="193">
        <v>175</v>
      </c>
    </row>
    <row r="18">
      <c r="A18" s="193" t="s">
        <v>94</v>
      </c>
      <c r="B18" s="193">
        <v>300</v>
      </c>
    </row>
    <row r="19">
      <c r="A19" s="193" t="s">
        <v>97</v>
      </c>
      <c r="B19" s="193">
        <v>250</v>
      </c>
    </row>
    <row r="20">
      <c r="A20" s="193" t="s">
        <v>101</v>
      </c>
      <c r="B20" s="193">
        <v>375</v>
      </c>
    </row>
    <row r="21">
      <c r="A21" s="193" t="s">
        <v>104</v>
      </c>
      <c r="B21" s="193">
        <v>455</v>
      </c>
    </row>
    <row r="22">
      <c r="A22" s="193" t="s">
        <v>109</v>
      </c>
      <c r="B22" s="193">
        <v>135</v>
      </c>
    </row>
    <row r="23">
      <c r="A23" s="193" t="s">
        <v>112</v>
      </c>
      <c r="B23" s="193">
        <v>130</v>
      </c>
    </row>
    <row r="24">
      <c r="A24" s="193" t="s">
        <v>144</v>
      </c>
      <c r="B24" s="193">
        <v>200</v>
      </c>
    </row>
    <row r="25">
      <c r="A25" s="193" t="s">
        <v>79</v>
      </c>
      <c r="B25" s="193">
        <v>80</v>
      </c>
    </row>
    <row r="26">
      <c r="A26" s="193" t="s">
        <v>147</v>
      </c>
      <c r="B26" s="193">
        <v>130</v>
      </c>
    </row>
    <row r="27">
      <c r="A27" s="193" t="s">
        <v>148</v>
      </c>
      <c r="B27" s="193">
        <v>400</v>
      </c>
    </row>
    <row r="28">
      <c r="A28" s="193" t="s">
        <v>113</v>
      </c>
      <c r="B28" s="193">
        <v>300</v>
      </c>
    </row>
    <row r="29">
      <c r="A29" s="193" t="s">
        <v>127</v>
      </c>
      <c r="B29" s="193">
        <v>400</v>
      </c>
    </row>
    <row r="30">
      <c r="A30" s="193" t="s">
        <v>130</v>
      </c>
      <c r="B30" s="193">
        <v>400</v>
      </c>
    </row>
    <row r="31">
      <c r="A31" s="193" t="s">
        <v>131</v>
      </c>
      <c r="B31" s="193">
        <v>250</v>
      </c>
    </row>
    <row r="32">
      <c r="A32" s="193" t="s">
        <v>157</v>
      </c>
      <c r="B32" s="193">
        <v>4500</v>
      </c>
    </row>
    <row r="33">
      <c r="A33" s="193" t="s">
        <v>259</v>
      </c>
      <c r="B33" s="193">
        <v>5000</v>
      </c>
    </row>
    <row r="34">
      <c r="A34" s="193" t="s">
        <v>260</v>
      </c>
      <c r="B34" s="193">
        <v>1000</v>
      </c>
    </row>
    <row r="35">
      <c r="A35" s="193" t="s">
        <v>261</v>
      </c>
      <c r="B35" s="193">
        <v>250</v>
      </c>
    </row>
    <row r="36">
      <c r="A36" s="193" t="s">
        <v>262</v>
      </c>
      <c r="B36" s="193">
        <v>250</v>
      </c>
    </row>
    <row r="37">
      <c r="A37" s="193" t="s">
        <v>263</v>
      </c>
      <c r="B37" s="193">
        <v>5000</v>
      </c>
    </row>
    <row r="38">
      <c r="A38" s="193" t="s">
        <v>264</v>
      </c>
      <c r="B38" s="193">
        <v>250</v>
      </c>
    </row>
    <row r="39">
      <c r="A39" s="193" t="s">
        <v>265</v>
      </c>
      <c r="B39" s="193">
        <v>120</v>
      </c>
    </row>
    <row r="40">
      <c r="A40" s="193" t="s">
        <v>266</v>
      </c>
      <c r="B40" s="193">
        <v>90</v>
      </c>
    </row>
    <row r="41">
      <c r="A41" s="193" t="s">
        <v>267</v>
      </c>
      <c r="B41" s="193">
        <v>20</v>
      </c>
    </row>
    <row r="42"/>
    <row r="43"/>
  </sheetData>
  <sheetProtection selectLockedCells="1" autoFilter="0" selectUnlockedCells="1"/>
  <mergeCells>
    <mergeCell ref="G1:I1"/>
    <mergeCell ref="G4:I4"/>
    <mergeCell ref="A10:B10"/>
  </mergeCells>
  <phoneticPr fontId="37" type="noConversion"/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7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bestFit="1" width="20.7109375" customWidth="1" style="3"/>
    <col min="2" max="2" bestFit="1" width="12" customWidth="1" style="2"/>
    <col min="3" max="9" width="9.140625" customWidth="1" style="3"/>
    <col min="10" max="10" bestFit="1" width="9.5703125" customWidth="1" style="3"/>
    <col min="11" max="11" bestFit="1" width="20.5703125" customWidth="1" style="3"/>
    <col min="12" max="12" width="9.140625" customWidth="1" style="2"/>
    <col min="13" max="14" width="9.140625" customWidth="1" style="3"/>
    <col min="15" max="15" bestFit="1" width="32.5703125" customWidth="1" style="3"/>
    <col min="16" max="16384" width="9.140625" customWidth="1" style="3"/>
  </cols>
  <sheetData>
    <row r="1">
      <c r="A1" s="2"/>
    </row>
    <row r="2">
      <c r="A2" s="2"/>
      <c r="J2" s="2" t="s">
        <v>436</v>
      </c>
      <c r="K2" s="2" t="s">
        <v>437</v>
      </c>
      <c r="O2" s="2" t="s">
        <v>438</v>
      </c>
    </row>
    <row r="3">
      <c r="A3" s="2" t="s">
        <v>268</v>
      </c>
      <c r="B3" s="2" t="str">
        <f>'Format (2)'!B17</f>
        <v>EVO 150X70</v>
      </c>
      <c r="J3" s="9">
        <v>3</v>
      </c>
      <c r="K3" s="9">
        <v>2</v>
      </c>
    </row>
    <row r="4">
      <c r="A4" s="2" t="s">
        <v>439</v>
      </c>
      <c r="B4" s="2">
        <f>تسجيل2!C7</f>
        <v>500</v>
      </c>
      <c r="J4" s="9">
        <v>4</v>
      </c>
      <c r="K4" s="9">
        <v>2</v>
      </c>
    </row>
    <row r="5">
      <c r="A5" s="2" t="s">
        <v>269</v>
      </c>
      <c r="B5" s="2">
        <f>تسجيل2!E7</f>
        <v>800</v>
      </c>
      <c r="J5" s="9">
        <v>5</v>
      </c>
      <c r="K5" s="9">
        <v>3</v>
      </c>
      <c r="L5" s="2">
        <f>IF(B6&lt;3,2,IF(B6&lt;4,2,IF(B6&lt;5,2,IF(B6&lt;6,3,IF(B6&lt;7,3,IF(B6&lt;8,3,IF(B6&lt;8,4,L11)))))))</f>
        <v>5</v>
      </c>
    </row>
    <row r="6">
      <c r="A6" s="2" t="s">
        <v>436</v>
      </c>
      <c r="B6" s="2">
        <f>'Cutting Ro-2'!L14</f>
        <v>12</v>
      </c>
      <c r="C6" s="2" t="s">
        <v>440</v>
      </c>
      <c r="D6" s="1">
        <v>2</v>
      </c>
      <c r="J6" s="9">
        <v>6</v>
      </c>
      <c r="K6" s="9">
        <v>3</v>
      </c>
    </row>
    <row r="7">
      <c r="A7" s="2"/>
      <c r="J7" s="9">
        <v>7</v>
      </c>
      <c r="K7" s="9">
        <v>3</v>
      </c>
    </row>
    <row r="8">
      <c r="A8" s="2"/>
      <c r="J8" s="131">
        <v>8</v>
      </c>
      <c r="K8" s="131">
        <v>4</v>
      </c>
      <c r="O8" s="2">
        <f>IF(B6&lt;8,L5,IF(B6&lt;15,L11,IF(B6&lt;21,L17,"-------")))</f>
        <v>5</v>
      </c>
    </row>
    <row r="9">
      <c r="A9" s="2" t="s">
        <v>441</v>
      </c>
      <c r="B9" s="2">
        <f>O8</f>
        <v>5</v>
      </c>
      <c r="J9" s="9">
        <v>9</v>
      </c>
      <c r="K9" s="9">
        <v>4</v>
      </c>
    </row>
    <row r="10">
      <c r="A10" s="132" t="s">
        <v>442</v>
      </c>
      <c r="B10" s="133">
        <f>(((B4-(تسجيل2!C22*2))/200)+1)*B9</f>
        <v>15</v>
      </c>
      <c r="C10" s="648" t="s">
        <v>443</v>
      </c>
      <c r="D10" s="648"/>
      <c r="E10" s="6">
        <f>ROUND(B10,0)</f>
        <v>15</v>
      </c>
      <c r="J10" s="9">
        <v>10</v>
      </c>
      <c r="K10" s="9">
        <v>4</v>
      </c>
    </row>
    <row r="11">
      <c r="A11" s="132" t="s">
        <v>444</v>
      </c>
      <c r="B11" s="133">
        <f>E10/B9</f>
        <v>3</v>
      </c>
      <c r="C11" s="648" t="s">
        <v>443</v>
      </c>
      <c r="D11" s="648"/>
      <c r="E11" s="6">
        <f>ROUND(B11,0)</f>
        <v>3</v>
      </c>
      <c r="J11" s="9">
        <v>11</v>
      </c>
      <c r="K11" s="9">
        <v>5</v>
      </c>
      <c r="L11" s="2">
        <f>IF(B6&lt;9,4,IF(B6&lt;10,4,IF(B6&lt;11,4,IF(B6&lt;12,5,IF(B6&lt;13,5,IF(B6&lt;14,5,IF(B6&lt;15,5,L17)))))))</f>
        <v>5</v>
      </c>
    </row>
    <row r="12">
      <c r="A12" s="132" t="s">
        <v>445</v>
      </c>
      <c r="B12" s="6">
        <f>E11*B9</f>
        <v>15</v>
      </c>
      <c r="J12" s="9">
        <v>12</v>
      </c>
      <c r="K12" s="9">
        <v>5</v>
      </c>
    </row>
    <row r="13">
      <c r="J13" s="9">
        <v>13</v>
      </c>
      <c r="K13" s="9">
        <v>5</v>
      </c>
    </row>
    <row r="14">
      <c r="J14" s="131">
        <v>14</v>
      </c>
      <c r="K14" s="131">
        <v>5</v>
      </c>
    </row>
    <row r="15">
      <c r="J15" s="9">
        <v>15</v>
      </c>
      <c r="K15" s="9">
        <v>5</v>
      </c>
    </row>
    <row r="16">
      <c r="J16" s="9">
        <v>16</v>
      </c>
      <c r="K16" s="9">
        <v>6</v>
      </c>
    </row>
    <row r="17">
      <c r="J17" s="9">
        <v>17</v>
      </c>
      <c r="K17" s="9">
        <v>6</v>
      </c>
      <c r="L17" s="2">
        <f>IF(B6&lt;16,5,IF(B6&lt;17,6,IF(B6&lt;18,6,IF(B6&lt;19,6,IF(B6&lt;20,6,IF(B6&lt;21,6,"-------"))))))</f>
        <v>5</v>
      </c>
    </row>
    <row r="18">
      <c r="J18" s="9">
        <v>18</v>
      </c>
      <c r="K18" s="9">
        <v>6</v>
      </c>
    </row>
    <row r="19">
      <c r="J19" s="9">
        <v>19</v>
      </c>
      <c r="K19" s="9">
        <v>6</v>
      </c>
    </row>
    <row r="20">
      <c r="J20" s="9">
        <v>20</v>
      </c>
      <c r="K20" s="9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bestFit="1" width="15.140625" customWidth="1" style="2"/>
    <col min="2" max="2" width="12.140625" customWidth="1" style="2"/>
    <col min="3" max="3" bestFit="1" width="23.28515625" customWidth="1" style="2"/>
    <col min="4" max="16384" width="9.140625" customWidth="1" style="2"/>
  </cols>
  <sheetData>
    <row r="1">
      <c r="A1" s="2" t="s">
        <v>268</v>
      </c>
      <c r="B1" s="2" t="s">
        <v>269</v>
      </c>
      <c r="C1" s="2" t="s">
        <v>270</v>
      </c>
    </row>
    <row r="2">
      <c r="A2" s="2" t="str">
        <f>IF('Format (2)'!A7=1,'Format (2)'!A2,IF('Format (2)'!A7=2,'Format (2)'!A3,IF('Format (2)'!A7=3,'Format (2)'!A4,IF('Format (2)'!A7=4,'Format (2)'!A5,IF('Format (2)'!A7=5,'Format (2)'!A6)))))</f>
        <v>EVO 150X70</v>
      </c>
      <c r="B2" s="2">
        <f>تسجيل2!E7</f>
        <v>800</v>
      </c>
      <c r="C2" s="2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134"/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>
      <c r="A6" s="90" t="s">
        <v>271</v>
      </c>
      <c r="C6" s="2">
        <f>IF('Format (2)'!N8=1,'Format διαστασης οδηγου (2)'!B2-32,IF('Format (2)'!N8=2,'Format διαστασης οδηγου (2)'!B2-43,"-------"))</f>
        <v>768</v>
      </c>
      <c r="K6" s="128"/>
    </row>
    <row r="7">
      <c r="A7" s="90" t="s">
        <v>272</v>
      </c>
      <c r="C7" s="2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4" t="s">
        <v>273</v>
      </c>
      <c r="I7" s="784"/>
      <c r="J7" s="784"/>
      <c r="K7" s="785"/>
    </row>
    <row r="8">
      <c r="A8" s="90" t="s">
        <v>274</v>
      </c>
      <c r="C8" s="2">
        <f>IF('Format (2)'!N8=1,'Format διαστασης οδηγου (2)'!B2-32,"-------")</f>
        <v>768</v>
      </c>
      <c r="F8" s="2">
        <f>IF('Format (2)'!A7=1,C6,IF('Format (2)'!A7=2,C7,IF('Format (2)'!A7=3,C8,IF('Format (2)'!A7=4,C9,IF('Format (2)'!A7=5,C10)))))</f>
        <v>765</v>
      </c>
      <c r="H8" s="784"/>
      <c r="I8" s="784"/>
      <c r="J8" s="784"/>
      <c r="K8" s="785"/>
    </row>
    <row r="9">
      <c r="A9" s="90" t="s">
        <v>275</v>
      </c>
      <c r="C9" s="2" t="str">
        <f>IF('Format (2)'!N8=5,'Format διαστασης οδηγου (2)'!B2-35,IF('Format (2)'!N8=6,'Format διαστασης οδηγου (2)'!B2-31,"-------"))</f>
        <v>-------</v>
      </c>
      <c r="H9" s="784"/>
      <c r="I9" s="784"/>
      <c r="J9" s="784"/>
      <c r="K9" s="785"/>
    </row>
    <row r="10">
      <c r="A10" s="90" t="s">
        <v>276</v>
      </c>
      <c r="C10" s="2">
        <f>B2-32</f>
        <v>768</v>
      </c>
      <c r="K10" s="128"/>
    </row>
    <row r="11">
      <c r="A11" s="135"/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3">
      <c r="A13" s="134"/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>
      <c r="A14" s="90" t="s">
        <v>271</v>
      </c>
      <c r="C14" s="2">
        <f>IF('Format (2)'!N8=1,B2,IF('Format (2)'!N8=2,'Format διαστασης οδηγου (2)'!B2-11,"-------"))</f>
        <v>800</v>
      </c>
      <c r="K14" s="128"/>
    </row>
    <row r="15">
      <c r="A15" s="90" t="s">
        <v>272</v>
      </c>
      <c r="C15" s="2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4" t="s">
        <v>277</v>
      </c>
      <c r="I15" s="784"/>
      <c r="J15" s="784"/>
      <c r="K15" s="785"/>
    </row>
    <row r="16">
      <c r="A16" s="90" t="s">
        <v>274</v>
      </c>
      <c r="C16" s="2">
        <f>IF('Format (2)'!N8=1,'Format διαστασης οδηγου (2)'!B2,"-------")</f>
        <v>800</v>
      </c>
      <c r="F16" s="2">
        <f>IF('Format (2)'!A7=1,C14,IF('Format (2)'!A7=2,C15,IF('Format (2)'!A7=3,C16,IF('Format (2)'!A7=4,C17,IF('Format (2)'!A7=5,C118)))))</f>
        <v>800</v>
      </c>
      <c r="H16" s="784"/>
      <c r="I16" s="784"/>
      <c r="J16" s="784"/>
      <c r="K16" s="785"/>
    </row>
    <row r="17">
      <c r="A17" s="90" t="s">
        <v>275</v>
      </c>
      <c r="C17" s="2" t="str">
        <f>IF('Format (2)'!N8=5,'Format διαστασης οδηγου (2)'!B2-6,IF('Format (2)'!N8=6,'Format διαστασης οδηγου (2)'!B2-2,"-------"))</f>
        <v>-------</v>
      </c>
      <c r="H17" s="784"/>
      <c r="I17" s="784"/>
      <c r="J17" s="784"/>
      <c r="K17" s="785"/>
    </row>
    <row r="18">
      <c r="A18" s="90" t="s">
        <v>276</v>
      </c>
      <c r="C18" s="2">
        <f>B2</f>
        <v>800</v>
      </c>
      <c r="K18" s="128"/>
    </row>
    <row r="19">
      <c r="A19" s="135"/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bestFit="1" width="15.85546875" customWidth="1" style="3"/>
    <col min="2" max="2" bestFit="1" width="18" customWidth="1" style="3"/>
    <col min="3" max="3" bestFit="1" width="17.28515625" customWidth="1" style="3"/>
    <col min="4" max="4" bestFit="1" width="14.7109375" customWidth="1" style="3"/>
    <col min="5" max="5" bestFit="1" width="15.85546875" customWidth="1" style="3"/>
    <col min="6" max="6" bestFit="1" width="10" customWidth="1" style="3"/>
    <col min="7" max="9" width="9.140625" customWidth="1" style="3"/>
    <col min="10" max="10" bestFit="1" width="7.42578125" customWidth="1" style="3"/>
    <col min="11" max="11" bestFit="1" width="9.5703125" customWidth="1" style="3"/>
    <col min="12" max="12" bestFit="1" width="11.7109375" customWidth="1" style="3"/>
    <col min="13" max="13" width="9.140625" customWidth="1" style="3"/>
    <col min="14" max="14" bestFit="1" width="23.28515625" customWidth="1" style="2"/>
    <col min="15" max="15" bestFit="1" width="22.28515625" customWidth="1" style="3"/>
    <col min="16" max="16" bestFit="1" width="13.7109375" customWidth="1" style="3"/>
    <col min="17" max="16384" width="9.140625" customWidth="1" style="3"/>
  </cols>
  <sheetData>
    <row r="1">
      <c r="A1" s="88" t="s">
        <v>268</v>
      </c>
      <c r="B1" s="88" t="s">
        <v>4</v>
      </c>
      <c r="C1" s="88" t="s">
        <v>6</v>
      </c>
      <c r="D1" s="88" t="s">
        <v>11</v>
      </c>
      <c r="E1" s="88" t="s">
        <v>12</v>
      </c>
      <c r="F1" s="88" t="s">
        <v>16</v>
      </c>
      <c r="G1" s="88" t="s">
        <v>21</v>
      </c>
      <c r="H1" s="88" t="s">
        <v>463</v>
      </c>
      <c r="I1" s="88" t="s">
        <v>18</v>
      </c>
      <c r="J1" s="757" t="s">
        <v>464</v>
      </c>
      <c r="K1" s="758"/>
      <c r="L1" s="758"/>
      <c r="M1" s="759"/>
      <c r="N1" s="88" t="s">
        <v>465</v>
      </c>
      <c r="O1" s="88" t="s">
        <v>18</v>
      </c>
      <c r="P1" s="88" t="s">
        <v>466</v>
      </c>
    </row>
    <row r="2">
      <c r="A2" s="89" t="s">
        <v>467</v>
      </c>
      <c r="B2" s="89" t="s">
        <v>468</v>
      </c>
      <c r="C2" s="89" t="s">
        <v>468</v>
      </c>
      <c r="D2" s="89" t="s">
        <v>469</v>
      </c>
      <c r="E2" s="89" t="s">
        <v>470</v>
      </c>
      <c r="F2" s="89" t="s">
        <v>471</v>
      </c>
      <c r="G2" s="89" t="s">
        <v>471</v>
      </c>
      <c r="H2" s="89" t="s">
        <v>471</v>
      </c>
      <c r="I2" s="89" t="s">
        <v>470</v>
      </c>
      <c r="J2" s="90" t="s">
        <v>32</v>
      </c>
      <c r="K2" s="2" t="s">
        <v>33</v>
      </c>
      <c r="L2" s="2" t="s">
        <v>472</v>
      </c>
      <c r="M2" s="91" t="s">
        <v>13</v>
      </c>
      <c r="N2" s="89" t="s">
        <v>473</v>
      </c>
      <c r="O2" s="89" t="s">
        <v>474</v>
      </c>
      <c r="P2" s="89" t="s">
        <v>471</v>
      </c>
    </row>
    <row r="3">
      <c r="A3" s="89" t="s">
        <v>475</v>
      </c>
      <c r="B3" s="89" t="s">
        <v>476</v>
      </c>
      <c r="C3" s="89" t="s">
        <v>476</v>
      </c>
      <c r="D3" s="89" t="s">
        <v>477</v>
      </c>
      <c r="E3" s="89" t="s">
        <v>478</v>
      </c>
      <c r="F3" s="89" t="s">
        <v>470</v>
      </c>
      <c r="G3" s="89" t="s">
        <v>470</v>
      </c>
      <c r="H3" s="89" t="s">
        <v>470</v>
      </c>
      <c r="I3" s="89" t="s">
        <v>479</v>
      </c>
      <c r="J3" s="69">
        <v>-2</v>
      </c>
      <c r="K3" s="3">
        <v>-5</v>
      </c>
      <c r="L3" s="3">
        <v>-5</v>
      </c>
      <c r="M3" s="91">
        <v>-2</v>
      </c>
      <c r="N3" s="89" t="s">
        <v>480</v>
      </c>
      <c r="O3" s="89" t="s">
        <v>481</v>
      </c>
      <c r="P3" s="89" t="s">
        <v>470</v>
      </c>
    </row>
    <row r="4">
      <c r="A4" s="89" t="s">
        <v>482</v>
      </c>
      <c r="B4" s="89" t="s">
        <v>483</v>
      </c>
      <c r="C4" s="89" t="s">
        <v>484</v>
      </c>
      <c r="D4" s="89">
        <v>1</v>
      </c>
      <c r="E4" s="89" t="s">
        <v>485</v>
      </c>
      <c r="F4" s="89">
        <v>1</v>
      </c>
      <c r="G4" s="89">
        <v>1</v>
      </c>
      <c r="H4" s="89">
        <v>2</v>
      </c>
      <c r="I4" s="89" t="s">
        <v>486</v>
      </c>
      <c r="J4" s="69">
        <v>-1</v>
      </c>
      <c r="K4" s="3">
        <v>-4</v>
      </c>
      <c r="L4" s="3">
        <v>-4</v>
      </c>
      <c r="M4" s="91">
        <v>-1</v>
      </c>
      <c r="N4" s="89" t="s">
        <v>487</v>
      </c>
      <c r="O4" s="89">
        <v>1</v>
      </c>
      <c r="P4" s="89" t="s">
        <v>488</v>
      </c>
    </row>
    <row r="5">
      <c r="A5" s="89" t="s">
        <v>489</v>
      </c>
      <c r="B5" s="89">
        <v>1</v>
      </c>
      <c r="C5" s="89" t="s">
        <v>490</v>
      </c>
      <c r="D5" s="89"/>
      <c r="E5" s="89" t="s">
        <v>491</v>
      </c>
      <c r="F5" s="89"/>
      <c r="G5" s="89"/>
      <c r="H5" s="89"/>
      <c r="I5" s="89">
        <v>2</v>
      </c>
      <c r="J5" s="69">
        <v>0</v>
      </c>
      <c r="K5" s="3">
        <v>-3</v>
      </c>
      <c r="L5" s="3">
        <v>-3</v>
      </c>
      <c r="M5" s="91">
        <v>0</v>
      </c>
      <c r="N5" s="89" t="s">
        <v>492</v>
      </c>
      <c r="O5" s="89"/>
      <c r="P5" s="89">
        <v>1</v>
      </c>
    </row>
    <row r="6">
      <c r="A6" s="89" t="s">
        <v>493</v>
      </c>
      <c r="B6" s="89"/>
      <c r="C6" s="89" t="s">
        <v>494</v>
      </c>
      <c r="D6" s="89"/>
      <c r="E6" s="89" t="s">
        <v>495</v>
      </c>
      <c r="F6" s="89"/>
      <c r="G6" s="89"/>
      <c r="H6" s="89"/>
      <c r="I6" s="89"/>
      <c r="J6" s="69">
        <v>1</v>
      </c>
      <c r="K6" s="3">
        <v>-2</v>
      </c>
      <c r="L6" s="3">
        <v>-2</v>
      </c>
      <c r="M6" s="91">
        <v>1</v>
      </c>
      <c r="N6" s="89" t="s">
        <v>496</v>
      </c>
      <c r="O6" s="89"/>
      <c r="P6" s="89"/>
    </row>
    <row r="7">
      <c r="A7" s="89">
        <v>2</v>
      </c>
      <c r="B7" s="89"/>
      <c r="C7" s="89" t="s">
        <v>483</v>
      </c>
      <c r="D7" s="89"/>
      <c r="E7" s="89" t="s">
        <v>497</v>
      </c>
      <c r="F7" s="89"/>
      <c r="G7" s="89"/>
      <c r="H7" s="89"/>
      <c r="I7" s="89"/>
      <c r="J7" s="69">
        <v>2</v>
      </c>
      <c r="K7" s="3">
        <v>-1</v>
      </c>
      <c r="L7" s="3">
        <v>-1</v>
      </c>
      <c r="M7" s="91">
        <v>2</v>
      </c>
      <c r="N7" s="89" t="s">
        <v>498</v>
      </c>
      <c r="O7" s="92"/>
      <c r="P7" s="89"/>
    </row>
    <row r="8">
      <c r="A8" s="89"/>
      <c r="B8" s="89"/>
      <c r="C8" s="89">
        <v>1</v>
      </c>
      <c r="D8" s="89"/>
      <c r="E8" s="89">
        <v>4</v>
      </c>
      <c r="F8" s="89"/>
      <c r="G8" s="89"/>
      <c r="H8" s="89"/>
      <c r="I8" s="89"/>
      <c r="J8" s="69">
        <v>3</v>
      </c>
      <c r="K8" s="3">
        <v>0</v>
      </c>
      <c r="L8" s="3">
        <v>0</v>
      </c>
      <c r="M8" s="91">
        <v>3</v>
      </c>
      <c r="N8" s="89">
        <v>1</v>
      </c>
      <c r="O8" s="92"/>
      <c r="P8" s="92"/>
    </row>
    <row r="9">
      <c r="A9" s="89"/>
      <c r="B9" s="89"/>
      <c r="C9" s="89"/>
      <c r="D9" s="89"/>
      <c r="E9" s="89"/>
      <c r="F9" s="89"/>
      <c r="G9" s="89"/>
      <c r="H9" s="89"/>
      <c r="I9" s="89"/>
      <c r="J9" s="69"/>
      <c r="K9" s="3">
        <v>1</v>
      </c>
      <c r="L9" s="3">
        <v>1</v>
      </c>
      <c r="M9" s="91"/>
      <c r="N9" s="89"/>
      <c r="O9" s="92"/>
      <c r="P9" s="92"/>
    </row>
    <row r="10">
      <c r="A10" s="89"/>
      <c r="B10" s="89"/>
      <c r="C10" s="89"/>
      <c r="D10" s="89"/>
      <c r="E10" s="89"/>
      <c r="F10" s="89"/>
      <c r="G10" s="89"/>
      <c r="H10" s="89"/>
      <c r="I10" s="89"/>
      <c r="J10" s="69"/>
      <c r="K10" s="3">
        <v>2</v>
      </c>
      <c r="L10" s="3">
        <v>2</v>
      </c>
      <c r="M10" s="91"/>
      <c r="N10" s="89"/>
      <c r="O10" s="92"/>
      <c r="P10" s="92"/>
    </row>
    <row r="11">
      <c r="A11" s="89"/>
      <c r="B11" s="89"/>
      <c r="C11" s="89"/>
      <c r="D11" s="89"/>
      <c r="E11" s="89"/>
      <c r="F11" s="89"/>
      <c r="G11" s="89"/>
      <c r="H11" s="89"/>
      <c r="I11" s="89"/>
      <c r="J11" s="69"/>
      <c r="K11" s="3">
        <v>3</v>
      </c>
      <c r="L11" s="3">
        <v>3</v>
      </c>
      <c r="M11" s="91"/>
      <c r="N11" s="89"/>
      <c r="O11" s="92"/>
      <c r="P11" s="92"/>
    </row>
    <row r="12">
      <c r="A12" s="89"/>
      <c r="B12" s="89"/>
      <c r="C12" s="89"/>
      <c r="D12" s="89"/>
      <c r="E12" s="89"/>
      <c r="F12" s="89"/>
      <c r="G12" s="89"/>
      <c r="H12" s="89"/>
      <c r="I12" s="89"/>
      <c r="J12" s="69"/>
      <c r="K12" s="3">
        <v>4</v>
      </c>
      <c r="L12" s="3">
        <v>4</v>
      </c>
      <c r="M12" s="91"/>
      <c r="N12" s="89"/>
      <c r="O12" s="92"/>
      <c r="P12" s="92"/>
    </row>
    <row r="13">
      <c r="A13" s="89"/>
      <c r="B13" s="89"/>
      <c r="C13" s="89"/>
      <c r="D13" s="89"/>
      <c r="E13" s="89"/>
      <c r="F13" s="89"/>
      <c r="G13" s="89"/>
      <c r="H13" s="89"/>
      <c r="I13" s="89"/>
      <c r="J13" s="69"/>
      <c r="K13" s="3">
        <v>5</v>
      </c>
      <c r="L13" s="3">
        <v>5</v>
      </c>
      <c r="M13" s="91"/>
      <c r="N13" s="89"/>
      <c r="O13" s="92"/>
      <c r="P13" s="92"/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69"/>
      <c r="K14" s="3">
        <v>6</v>
      </c>
      <c r="L14" s="3">
        <v>6</v>
      </c>
      <c r="M14" s="91"/>
      <c r="N14" s="89"/>
      <c r="O14" s="92"/>
      <c r="P14" s="92"/>
    </row>
    <row r="15">
      <c r="A15" s="93"/>
      <c r="B15" s="93"/>
      <c r="C15" s="93"/>
      <c r="D15" s="93"/>
      <c r="E15" s="93"/>
      <c r="F15" s="93"/>
      <c r="G15" s="93"/>
      <c r="H15" s="93"/>
      <c r="I15" s="93"/>
      <c r="J15" s="71"/>
      <c r="K15" s="62"/>
      <c r="L15" s="62"/>
      <c r="M15" s="94"/>
      <c r="N15" s="93"/>
      <c r="O15" s="95"/>
      <c r="P15" s="95"/>
    </row>
    <row r="16" ht="15.75">
      <c r="A16" s="2"/>
      <c r="B16" s="2"/>
      <c r="C16" s="2"/>
      <c r="D16" s="2"/>
      <c r="E16" s="2"/>
      <c r="F16" s="2"/>
      <c r="G16" s="2"/>
      <c r="H16" s="2"/>
      <c r="I16" s="2"/>
    </row>
    <row r="17">
      <c r="A17" s="96" t="s">
        <v>499</v>
      </c>
      <c r="B17" s="97" t="str">
        <f>IF(A7=1,A2,IF(A7=2,A3,IF(A7=3,A4,IF(A7=4,A5,IF(A7=5,A6,IF(A7=6,A7,IF(A7=7,A8,IF(A7=8,A9,IF(A7=9,A10,IF(A7=10,A11,IF(A7=11,A12,IF(A7=12,A13,A14))))))))))))</f>
        <v>EVO 150X70</v>
      </c>
      <c r="C17" s="760" t="s">
        <v>500</v>
      </c>
      <c r="D17" s="761"/>
      <c r="E17" s="761"/>
      <c r="F17" s="762"/>
      <c r="G17" s="2"/>
      <c r="H17" s="2"/>
      <c r="I17" s="2"/>
    </row>
    <row r="18">
      <c r="A18" s="98" t="s">
        <v>501</v>
      </c>
      <c r="B18" s="99">
        <f>تسجيل1!C7</f>
        <v>450</v>
      </c>
      <c r="C18" s="100" t="s">
        <v>502</v>
      </c>
      <c r="D18" s="100"/>
      <c r="E18" s="100"/>
      <c r="F18" s="101"/>
      <c r="G18" s="2"/>
      <c r="H18" s="2"/>
      <c r="I18" s="2"/>
    </row>
    <row r="19" ht="15.75">
      <c r="A19" s="102" t="s">
        <v>460</v>
      </c>
      <c r="B19" s="103">
        <f>'Format διαστασης οδηγου'!F16</f>
        <v>700</v>
      </c>
      <c r="C19" s="104">
        <f>IF(B18&gt;2400,8,IF(B18&gt;2000,7,IF(B18&gt;1600,6,IF(B18&gt;1200,5,IF(B18&gt;800,4,IF(B18&gt;400,3,2))))))</f>
        <v>3</v>
      </c>
      <c r="D19" s="104"/>
      <c r="E19" s="104"/>
      <c r="F19" s="105"/>
      <c r="G19" s="2"/>
      <c r="H19" s="2"/>
      <c r="I19" s="2"/>
    </row>
    <row r="20">
      <c r="A20" s="2"/>
      <c r="B20" s="2"/>
      <c r="C20" s="2"/>
      <c r="D20" s="2"/>
      <c r="E20" s="2"/>
      <c r="F20" s="2"/>
      <c r="G20" s="2"/>
      <c r="H20" s="2"/>
      <c r="I20" s="2"/>
    </row>
    <row r="21">
      <c r="A21" s="2"/>
      <c r="B21" s="2"/>
      <c r="C21" s="2"/>
      <c r="D21" s="2"/>
      <c r="E21" s="2"/>
      <c r="F21" s="2"/>
      <c r="G21" s="2"/>
      <c r="H21" s="2"/>
      <c r="I21" s="2"/>
    </row>
    <row r="22">
      <c r="A22" s="2"/>
      <c r="B22" s="2"/>
      <c r="C22" s="2"/>
      <c r="D22" s="2"/>
      <c r="E22" s="2"/>
      <c r="F22" s="2"/>
      <c r="G22" s="2"/>
      <c r="H22" s="2"/>
      <c r="I22" s="2"/>
    </row>
    <row r="23">
      <c r="A23" s="2"/>
      <c r="B23" s="2"/>
      <c r="C23" s="2"/>
      <c r="D23" s="2"/>
      <c r="E23" s="2"/>
      <c r="F23" s="2"/>
      <c r="G23" s="2"/>
      <c r="H23" s="2"/>
      <c r="I23" s="2"/>
    </row>
    <row r="24">
      <c r="A24" s="2"/>
      <c r="B24" s="2"/>
      <c r="C24" s="2"/>
      <c r="D24" s="2"/>
      <c r="E24" s="2"/>
      <c r="F24" s="2"/>
      <c r="G24" s="2"/>
      <c r="H24" s="2"/>
      <c r="I24" s="2"/>
    </row>
    <row r="25">
      <c r="A25" s="2"/>
      <c r="B25" s="2"/>
      <c r="C25" s="2"/>
      <c r="D25" s="2"/>
      <c r="E25" s="2"/>
      <c r="F25" s="2"/>
      <c r="G25" s="2"/>
      <c r="H25" s="2"/>
      <c r="I25" s="2"/>
    </row>
    <row r="28" ht="15.75"/>
    <row r="29">
      <c r="A29" s="763" t="s">
        <v>503</v>
      </c>
      <c r="B29" s="764"/>
      <c r="C29" s="764"/>
      <c r="D29" s="764"/>
      <c r="E29" s="764"/>
      <c r="F29" s="764"/>
      <c r="G29" s="764"/>
      <c r="H29" s="765"/>
      <c r="I29" s="763" t="s">
        <v>504</v>
      </c>
      <c r="J29" s="764"/>
      <c r="K29" s="764"/>
      <c r="L29" s="764"/>
      <c r="M29" s="764"/>
      <c r="N29" s="764"/>
      <c r="O29" s="764"/>
      <c r="P29" s="765"/>
      <c r="Q29" s="763" t="s">
        <v>505</v>
      </c>
      <c r="R29" s="764"/>
      <c r="S29" s="764"/>
      <c r="T29" s="764"/>
      <c r="U29" s="764"/>
      <c r="V29" s="764"/>
      <c r="W29" s="764"/>
      <c r="X29" s="765"/>
    </row>
    <row r="30">
      <c r="A30" s="106"/>
      <c r="B30" s="107"/>
      <c r="C30" s="107"/>
      <c r="D30" s="107"/>
      <c r="E30" s="107"/>
      <c r="F30" s="107"/>
      <c r="G30" s="107"/>
      <c r="H30" s="108"/>
      <c r="I30" s="106"/>
      <c r="J30" s="107"/>
      <c r="K30" s="107"/>
      <c r="L30" s="107"/>
      <c r="M30" s="107"/>
      <c r="N30" s="9"/>
      <c r="O30" s="107"/>
      <c r="P30" s="108"/>
      <c r="Q30" s="106"/>
      <c r="R30" s="107"/>
      <c r="S30" s="107"/>
      <c r="T30" s="107"/>
      <c r="U30" s="107"/>
      <c r="V30" s="107"/>
      <c r="W30" s="107"/>
      <c r="X30" s="108"/>
    </row>
    <row r="31" ht="15.75">
      <c r="A31" s="751" t="s">
        <v>506</v>
      </c>
      <c r="B31" s="752"/>
      <c r="C31" s="109">
        <f>B19</f>
        <v>700</v>
      </c>
      <c r="D31" s="107" t="s">
        <v>507</v>
      </c>
      <c r="E31" s="109">
        <f>H34</f>
        <v>10</v>
      </c>
      <c r="F31" s="107"/>
      <c r="G31" s="107"/>
      <c r="H31" s="108"/>
      <c r="I31" s="751" t="s">
        <v>506</v>
      </c>
      <c r="J31" s="752"/>
      <c r="K31" s="109">
        <f>B19</f>
        <v>700</v>
      </c>
      <c r="L31" s="107" t="s">
        <v>507</v>
      </c>
      <c r="M31" s="109">
        <f>P34</f>
        <v>9</v>
      </c>
      <c r="N31" s="9"/>
      <c r="O31" s="107"/>
      <c r="P31" s="108"/>
      <c r="Q31" s="753" t="s">
        <v>506</v>
      </c>
      <c r="R31" s="754"/>
      <c r="S31" s="110">
        <f>B19</f>
        <v>700</v>
      </c>
      <c r="T31" s="111" t="s">
        <v>508</v>
      </c>
      <c r="U31" s="110">
        <f>INT((S31-4)/25)+1</f>
        <v>28</v>
      </c>
      <c r="V31" s="111"/>
      <c r="W31" s="111"/>
      <c r="X31" s="112"/>
    </row>
    <row r="32">
      <c r="A32" s="755" t="s">
        <v>507</v>
      </c>
      <c r="B32" s="756"/>
      <c r="C32" s="756"/>
      <c r="D32" s="107"/>
      <c r="E32" s="107"/>
      <c r="F32" s="113"/>
      <c r="G32" s="107"/>
      <c r="H32" s="108"/>
      <c r="I32" s="755" t="s">
        <v>509</v>
      </c>
      <c r="J32" s="756"/>
      <c r="K32" s="756"/>
      <c r="L32" s="107"/>
      <c r="M32" s="107"/>
      <c r="N32" s="114"/>
      <c r="O32" s="107"/>
      <c r="P32" s="108"/>
    </row>
    <row r="33">
      <c r="A33" s="115" t="s">
        <v>510</v>
      </c>
      <c r="B33" s="116" t="s">
        <v>511</v>
      </c>
      <c r="C33" s="116" t="s">
        <v>512</v>
      </c>
      <c r="D33" s="107"/>
      <c r="E33" s="116" t="s">
        <v>510</v>
      </c>
      <c r="F33" s="116" t="s">
        <v>511</v>
      </c>
      <c r="G33" s="116" t="s">
        <v>512</v>
      </c>
      <c r="H33" s="108"/>
      <c r="I33" s="115" t="s">
        <v>510</v>
      </c>
      <c r="J33" s="116" t="s">
        <v>511</v>
      </c>
      <c r="K33" s="116" t="s">
        <v>512</v>
      </c>
      <c r="L33" s="107"/>
      <c r="M33" s="116" t="s">
        <v>510</v>
      </c>
      <c r="N33" s="117" t="s">
        <v>511</v>
      </c>
      <c r="O33" s="116" t="s">
        <v>512</v>
      </c>
      <c r="P33" s="108"/>
    </row>
    <row r="34">
      <c r="A34" s="106">
        <v>1</v>
      </c>
      <c r="B34" s="118">
        <v>0</v>
      </c>
      <c r="C34" s="118">
        <v>152</v>
      </c>
      <c r="D34" s="118">
        <f>C34+1</f>
        <v>153</v>
      </c>
      <c r="E34" s="107" t="s">
        <v>513</v>
      </c>
      <c r="F34" s="118">
        <f>B34</f>
        <v>0</v>
      </c>
      <c r="G34" s="118">
        <f>C38</f>
        <v>402</v>
      </c>
      <c r="H34" s="119">
        <f>IF(C31&lt;D34,A34,IF(C31&lt;D35,A35,IF(C31&lt;D36,A36,IF(C31&lt;D37,A37,IF(C31&lt;D38,A38,H39)))))</f>
        <v>10</v>
      </c>
      <c r="I34" s="106">
        <v>1</v>
      </c>
      <c r="J34" s="118">
        <v>0</v>
      </c>
      <c r="K34" s="118">
        <v>168</v>
      </c>
      <c r="L34" s="118">
        <f>K34+1</f>
        <v>169</v>
      </c>
      <c r="M34" s="107" t="s">
        <v>513</v>
      </c>
      <c r="N34" s="120">
        <f>J34</f>
        <v>0</v>
      </c>
      <c r="O34" s="118">
        <f>K38</f>
        <v>460</v>
      </c>
      <c r="P34" s="119">
        <f>IF(K31&lt;L34,I34,IF(K31&lt;L35,I35,IF(K31&lt;L36,I36,IF(K31&lt;L37,I37,IF(K31&lt;L38,I38,P39)))))</f>
        <v>9</v>
      </c>
    </row>
    <row r="35">
      <c r="A35" s="115">
        <v>2</v>
      </c>
      <c r="B35" s="121">
        <f>C34+1</f>
        <v>153</v>
      </c>
      <c r="C35" s="121">
        <v>215</v>
      </c>
      <c r="D35" s="118">
        <f ref="D35:D52" t="shared" si="0">C35+1</f>
        <v>216</v>
      </c>
      <c r="E35" s="107"/>
      <c r="F35" s="107"/>
      <c r="G35" s="107"/>
      <c r="H35" s="119"/>
      <c r="I35" s="115">
        <v>2</v>
      </c>
      <c r="J35" s="121">
        <f>K34+1</f>
        <v>169</v>
      </c>
      <c r="K35" s="121">
        <v>241</v>
      </c>
      <c r="L35" s="118">
        <f ref="L35:L52" t="shared" si="1">K35+1</f>
        <v>242</v>
      </c>
      <c r="M35" s="107"/>
      <c r="N35" s="9"/>
      <c r="O35" s="107"/>
      <c r="P35" s="119"/>
    </row>
    <row r="36">
      <c r="A36" s="106">
        <v>3</v>
      </c>
      <c r="B36" s="121">
        <f ref="B36:B52" t="shared" si="2">C35+1</f>
        <v>216</v>
      </c>
      <c r="C36" s="118">
        <v>277</v>
      </c>
      <c r="D36" s="118">
        <f t="shared" si="0"/>
        <v>278</v>
      </c>
      <c r="E36" s="107"/>
      <c r="F36" s="107"/>
      <c r="G36" s="107"/>
      <c r="H36" s="119"/>
      <c r="I36" s="106">
        <v>3</v>
      </c>
      <c r="J36" s="121">
        <f ref="J36:J52" t="shared" si="3">K35+1</f>
        <v>242</v>
      </c>
      <c r="K36" s="118">
        <v>314</v>
      </c>
      <c r="L36" s="118">
        <f t="shared" si="1"/>
        <v>315</v>
      </c>
      <c r="M36" s="107"/>
      <c r="N36" s="9"/>
      <c r="O36" s="107"/>
      <c r="P36" s="119"/>
    </row>
    <row r="37">
      <c r="A37" s="115">
        <v>4</v>
      </c>
      <c r="B37" s="121">
        <f t="shared" si="2"/>
        <v>278</v>
      </c>
      <c r="C37" s="118">
        <v>339</v>
      </c>
      <c r="D37" s="118">
        <f t="shared" si="0"/>
        <v>340</v>
      </c>
      <c r="E37" s="107"/>
      <c r="F37" s="107"/>
      <c r="G37" s="107"/>
      <c r="H37" s="119"/>
      <c r="I37" s="115">
        <v>4</v>
      </c>
      <c r="J37" s="121">
        <f t="shared" si="3"/>
        <v>315</v>
      </c>
      <c r="K37" s="118">
        <v>387</v>
      </c>
      <c r="L37" s="118">
        <f t="shared" si="1"/>
        <v>388</v>
      </c>
      <c r="M37" s="107"/>
      <c r="N37" s="9"/>
      <c r="O37" s="107"/>
      <c r="P37" s="119"/>
    </row>
    <row r="38">
      <c r="A38" s="106">
        <v>5</v>
      </c>
      <c r="B38" s="121">
        <f t="shared" si="2"/>
        <v>340</v>
      </c>
      <c r="C38" s="121">
        <v>402</v>
      </c>
      <c r="D38" s="118">
        <f t="shared" si="0"/>
        <v>403</v>
      </c>
      <c r="E38" s="107"/>
      <c r="F38" s="107"/>
      <c r="G38" s="107"/>
      <c r="H38" s="119"/>
      <c r="I38" s="106">
        <v>5</v>
      </c>
      <c r="J38" s="121">
        <f t="shared" si="3"/>
        <v>388</v>
      </c>
      <c r="K38" s="121">
        <v>460</v>
      </c>
      <c r="L38" s="118">
        <f t="shared" si="1"/>
        <v>461</v>
      </c>
      <c r="M38" s="107"/>
      <c r="N38" s="9"/>
      <c r="O38" s="107"/>
      <c r="P38" s="119"/>
    </row>
    <row r="39">
      <c r="A39" s="115">
        <v>6</v>
      </c>
      <c r="B39" s="121">
        <f t="shared" si="2"/>
        <v>403</v>
      </c>
      <c r="C39" s="118">
        <v>464</v>
      </c>
      <c r="D39" s="118">
        <f t="shared" si="0"/>
        <v>465</v>
      </c>
      <c r="E39" s="116" t="s">
        <v>514</v>
      </c>
      <c r="F39" s="118">
        <f>B39</f>
        <v>403</v>
      </c>
      <c r="G39" s="118">
        <f>C43</f>
        <v>713</v>
      </c>
      <c r="H39" s="119">
        <f>IF(C31&lt;D39,A39,IF(C31&lt;D40,A40,IF(C31&lt;D41,A41,IF(C31&lt;D42,A42,IF(C31&lt;D43,A43,H44)))))</f>
        <v>10</v>
      </c>
      <c r="I39" s="115">
        <v>6</v>
      </c>
      <c r="J39" s="121">
        <f t="shared" si="3"/>
        <v>461</v>
      </c>
      <c r="K39" s="118">
        <v>533</v>
      </c>
      <c r="L39" s="118">
        <f t="shared" si="1"/>
        <v>534</v>
      </c>
      <c r="M39" s="116" t="s">
        <v>514</v>
      </c>
      <c r="N39" s="120">
        <f>J39</f>
        <v>461</v>
      </c>
      <c r="O39" s="118">
        <f>K43</f>
        <v>825</v>
      </c>
      <c r="P39" s="119">
        <f>IF(K31&lt;L39,I39,IF(K31&lt;L40,I40,IF(K31&lt;L41,I41,IF(K31&lt;L42,I42,IF(K31&lt;L43,I43,P44)))))</f>
        <v>9</v>
      </c>
    </row>
    <row r="40">
      <c r="A40" s="106">
        <v>7</v>
      </c>
      <c r="B40" s="121">
        <f t="shared" si="2"/>
        <v>465</v>
      </c>
      <c r="C40" s="118">
        <v>527</v>
      </c>
      <c r="D40" s="118">
        <f t="shared" si="0"/>
        <v>528</v>
      </c>
      <c r="E40" s="107"/>
      <c r="F40" s="107"/>
      <c r="G40" s="107"/>
      <c r="H40" s="119"/>
      <c r="I40" s="106">
        <v>7</v>
      </c>
      <c r="J40" s="121">
        <f t="shared" si="3"/>
        <v>534</v>
      </c>
      <c r="K40" s="118">
        <v>606</v>
      </c>
      <c r="L40" s="118">
        <f t="shared" si="1"/>
        <v>607</v>
      </c>
      <c r="M40" s="107"/>
      <c r="N40" s="9"/>
      <c r="O40" s="107"/>
      <c r="P40" s="119"/>
    </row>
    <row r="41">
      <c r="A41" s="115">
        <v>8</v>
      </c>
      <c r="B41" s="121">
        <f t="shared" si="2"/>
        <v>528</v>
      </c>
      <c r="C41" s="121">
        <v>589</v>
      </c>
      <c r="D41" s="118">
        <f t="shared" si="0"/>
        <v>590</v>
      </c>
      <c r="E41" s="107"/>
      <c r="F41" s="107"/>
      <c r="G41" s="107"/>
      <c r="H41" s="119"/>
      <c r="I41" s="115">
        <v>8</v>
      </c>
      <c r="J41" s="121">
        <f t="shared" si="3"/>
        <v>607</v>
      </c>
      <c r="K41" s="121">
        <v>679</v>
      </c>
      <c r="L41" s="118">
        <f t="shared" si="1"/>
        <v>680</v>
      </c>
      <c r="M41" s="107"/>
      <c r="N41" s="9"/>
      <c r="O41" s="107"/>
      <c r="P41" s="119"/>
    </row>
    <row r="42">
      <c r="A42" s="106">
        <v>9</v>
      </c>
      <c r="B42" s="121">
        <f t="shared" si="2"/>
        <v>590</v>
      </c>
      <c r="C42" s="118">
        <v>651</v>
      </c>
      <c r="D42" s="118">
        <f t="shared" si="0"/>
        <v>652</v>
      </c>
      <c r="E42" s="107"/>
      <c r="F42" s="107"/>
      <c r="G42" s="107"/>
      <c r="H42" s="119"/>
      <c r="I42" s="106">
        <v>9</v>
      </c>
      <c r="J42" s="121">
        <f t="shared" si="3"/>
        <v>680</v>
      </c>
      <c r="K42" s="118">
        <v>752</v>
      </c>
      <c r="L42" s="118">
        <f t="shared" si="1"/>
        <v>753</v>
      </c>
      <c r="M42" s="107"/>
      <c r="N42" s="9"/>
      <c r="O42" s="107"/>
      <c r="P42" s="119"/>
    </row>
    <row r="43">
      <c r="A43" s="115">
        <v>10</v>
      </c>
      <c r="B43" s="121">
        <f t="shared" si="2"/>
        <v>652</v>
      </c>
      <c r="C43" s="118">
        <v>713</v>
      </c>
      <c r="D43" s="118">
        <f t="shared" si="0"/>
        <v>714</v>
      </c>
      <c r="E43" s="107"/>
      <c r="F43" s="107"/>
      <c r="G43" s="107"/>
      <c r="H43" s="119"/>
      <c r="I43" s="115">
        <v>10</v>
      </c>
      <c r="J43" s="121">
        <f t="shared" si="3"/>
        <v>753</v>
      </c>
      <c r="K43" s="118">
        <v>825</v>
      </c>
      <c r="L43" s="118">
        <f t="shared" si="1"/>
        <v>826</v>
      </c>
      <c r="M43" s="107"/>
      <c r="N43" s="9"/>
      <c r="O43" s="107"/>
      <c r="P43" s="119"/>
    </row>
    <row r="44">
      <c r="A44" s="106">
        <v>11</v>
      </c>
      <c r="B44" s="121">
        <f t="shared" si="2"/>
        <v>714</v>
      </c>
      <c r="C44" s="121">
        <v>776</v>
      </c>
      <c r="D44" s="118">
        <f t="shared" si="0"/>
        <v>777</v>
      </c>
      <c r="E44" s="107" t="s">
        <v>515</v>
      </c>
      <c r="F44" s="118">
        <f>B44</f>
        <v>714</v>
      </c>
      <c r="G44" s="118">
        <f>C47</f>
        <v>963</v>
      </c>
      <c r="H44" s="119">
        <f>IF(C31&lt;D44,A44,IF(C31&lt;D45,A45,IF(C31&lt;D46,A46,IF(C31&lt;D47,A47,H48))))</f>
        <v>11</v>
      </c>
      <c r="I44" s="106">
        <v>11</v>
      </c>
      <c r="J44" s="121">
        <f t="shared" si="3"/>
        <v>826</v>
      </c>
      <c r="K44" s="121">
        <v>898</v>
      </c>
      <c r="L44" s="118">
        <f t="shared" si="1"/>
        <v>899</v>
      </c>
      <c r="M44" s="107" t="s">
        <v>515</v>
      </c>
      <c r="N44" s="120">
        <f>J44</f>
        <v>826</v>
      </c>
      <c r="O44" s="118">
        <f>K47</f>
        <v>1117</v>
      </c>
      <c r="P44" s="119">
        <f>IF(K31&lt;L44,I44,IF(K31&lt;L45,I45,IF(K31&lt;L46,I46,IF(K31&lt;L47,I47,P48))))</f>
        <v>11</v>
      </c>
    </row>
    <row r="45">
      <c r="A45" s="115">
        <v>12</v>
      </c>
      <c r="B45" s="121">
        <f t="shared" si="2"/>
        <v>777</v>
      </c>
      <c r="C45" s="118">
        <v>837</v>
      </c>
      <c r="D45" s="118">
        <f t="shared" si="0"/>
        <v>838</v>
      </c>
      <c r="E45" s="107"/>
      <c r="F45" s="107"/>
      <c r="G45" s="107"/>
      <c r="H45" s="119"/>
      <c r="I45" s="115">
        <v>12</v>
      </c>
      <c r="J45" s="121">
        <f t="shared" si="3"/>
        <v>899</v>
      </c>
      <c r="K45" s="118">
        <v>971</v>
      </c>
      <c r="L45" s="118">
        <f t="shared" si="1"/>
        <v>972</v>
      </c>
      <c r="M45" s="107"/>
      <c r="N45" s="9"/>
      <c r="O45" s="107"/>
      <c r="P45" s="119"/>
    </row>
    <row r="46">
      <c r="A46" s="106">
        <v>13</v>
      </c>
      <c r="B46" s="121">
        <f t="shared" si="2"/>
        <v>838</v>
      </c>
      <c r="C46" s="118">
        <v>900</v>
      </c>
      <c r="D46" s="118">
        <f t="shared" si="0"/>
        <v>901</v>
      </c>
      <c r="E46" s="107"/>
      <c r="F46" s="107"/>
      <c r="G46" s="107"/>
      <c r="H46" s="119"/>
      <c r="I46" s="106">
        <v>13</v>
      </c>
      <c r="J46" s="121">
        <f t="shared" si="3"/>
        <v>972</v>
      </c>
      <c r="K46" s="118">
        <v>1044</v>
      </c>
      <c r="L46" s="118">
        <f t="shared" si="1"/>
        <v>1045</v>
      </c>
      <c r="M46" s="107"/>
      <c r="N46" s="9"/>
      <c r="O46" s="107"/>
      <c r="P46" s="119"/>
    </row>
    <row r="47">
      <c r="A47" s="115">
        <v>14</v>
      </c>
      <c r="B47" s="121">
        <f t="shared" si="2"/>
        <v>901</v>
      </c>
      <c r="C47" s="121">
        <v>963</v>
      </c>
      <c r="D47" s="118">
        <f t="shared" si="0"/>
        <v>964</v>
      </c>
      <c r="E47" s="107"/>
      <c r="F47" s="107"/>
      <c r="G47" s="107"/>
      <c r="H47" s="119"/>
      <c r="I47" s="115">
        <v>14</v>
      </c>
      <c r="J47" s="121">
        <f t="shared" si="3"/>
        <v>1045</v>
      </c>
      <c r="K47" s="121">
        <v>1117</v>
      </c>
      <c r="L47" s="118">
        <f t="shared" si="1"/>
        <v>1118</v>
      </c>
      <c r="M47" s="107"/>
      <c r="N47" s="9"/>
      <c r="O47" s="107"/>
      <c r="P47" s="119"/>
    </row>
    <row r="48">
      <c r="A48" s="106">
        <v>15</v>
      </c>
      <c r="B48" s="121">
        <f t="shared" si="2"/>
        <v>964</v>
      </c>
      <c r="C48" s="118">
        <v>1025</v>
      </c>
      <c r="D48" s="118">
        <f t="shared" si="0"/>
        <v>1026</v>
      </c>
      <c r="E48" s="107" t="s">
        <v>516</v>
      </c>
      <c r="F48" s="118">
        <f>B48</f>
        <v>964</v>
      </c>
      <c r="G48" s="118">
        <f>C52</f>
        <v>1270</v>
      </c>
      <c r="H48" s="119">
        <f>IF(C31&lt;D48,A48,IF(C31&lt;D49,A49,IF(C31&lt;D50,A50,IF(C31&lt;D51,A51,H52))))</f>
        <v>15</v>
      </c>
      <c r="I48" s="106">
        <v>15</v>
      </c>
      <c r="J48" s="121">
        <f t="shared" si="3"/>
        <v>1118</v>
      </c>
      <c r="K48" s="118">
        <v>1190</v>
      </c>
      <c r="L48" s="118">
        <f t="shared" si="1"/>
        <v>1191</v>
      </c>
      <c r="M48" s="107" t="s">
        <v>516</v>
      </c>
      <c r="N48" s="120">
        <f>J48</f>
        <v>1118</v>
      </c>
      <c r="O48" s="118">
        <f>K52</f>
        <v>1269</v>
      </c>
      <c r="P48" s="119">
        <f>IF(K31&lt;L48,I48,IF(K31&lt;L49,I49,IF(K31&lt;L50,I50,IF(K31&lt;L51,I51,P52))))</f>
        <v>15</v>
      </c>
    </row>
    <row r="49">
      <c r="A49" s="115">
        <v>16</v>
      </c>
      <c r="B49" s="121">
        <f t="shared" si="2"/>
        <v>1026</v>
      </c>
      <c r="C49" s="118">
        <v>1087</v>
      </c>
      <c r="D49" s="118">
        <f t="shared" si="0"/>
        <v>1088</v>
      </c>
      <c r="E49" s="107"/>
      <c r="F49" s="107"/>
      <c r="G49" s="107"/>
      <c r="H49" s="119"/>
      <c r="I49" s="115">
        <v>16</v>
      </c>
      <c r="J49" s="121">
        <f t="shared" si="3"/>
        <v>1191</v>
      </c>
      <c r="K49" s="118">
        <v>1263</v>
      </c>
      <c r="L49" s="118">
        <f t="shared" si="1"/>
        <v>1264</v>
      </c>
      <c r="M49" s="107"/>
      <c r="N49" s="9"/>
      <c r="O49" s="107"/>
      <c r="P49" s="119"/>
    </row>
    <row r="50">
      <c r="A50" s="106">
        <v>17</v>
      </c>
      <c r="B50" s="121">
        <f t="shared" si="2"/>
        <v>1088</v>
      </c>
      <c r="C50" s="121">
        <v>1145</v>
      </c>
      <c r="D50" s="118">
        <f t="shared" si="0"/>
        <v>1146</v>
      </c>
      <c r="E50" s="107"/>
      <c r="F50" s="107"/>
      <c r="G50" s="107"/>
      <c r="H50" s="119"/>
      <c r="I50" s="106">
        <v>17</v>
      </c>
      <c r="J50" s="121">
        <f t="shared" si="3"/>
        <v>1264</v>
      </c>
      <c r="K50" s="121">
        <v>1265</v>
      </c>
      <c r="L50" s="118">
        <f t="shared" si="1"/>
        <v>1266</v>
      </c>
      <c r="M50" s="107"/>
      <c r="N50" s="9"/>
      <c r="O50" s="107"/>
      <c r="P50" s="119"/>
    </row>
    <row r="51">
      <c r="A51" s="106">
        <v>18</v>
      </c>
      <c r="B51" s="121">
        <f t="shared" si="2"/>
        <v>1146</v>
      </c>
      <c r="C51" s="121">
        <v>1210</v>
      </c>
      <c r="D51" s="118">
        <f t="shared" si="0"/>
        <v>1211</v>
      </c>
      <c r="E51" s="107"/>
      <c r="F51" s="107"/>
      <c r="G51" s="107"/>
      <c r="H51" s="108"/>
      <c r="I51" s="106">
        <v>18</v>
      </c>
      <c r="J51" s="121">
        <f t="shared" si="3"/>
        <v>1266</v>
      </c>
      <c r="K51" s="121">
        <v>1267</v>
      </c>
      <c r="L51" s="118">
        <f t="shared" si="1"/>
        <v>1268</v>
      </c>
      <c r="M51" s="107"/>
      <c r="N51" s="9"/>
      <c r="O51" s="107"/>
      <c r="P51" s="108"/>
    </row>
    <row r="52" ht="15.75">
      <c r="A52" s="122">
        <v>19</v>
      </c>
      <c r="B52" s="123">
        <f t="shared" si="2"/>
        <v>1211</v>
      </c>
      <c r="C52" s="123">
        <v>1270</v>
      </c>
      <c r="D52" s="124">
        <f t="shared" si="0"/>
        <v>1271</v>
      </c>
      <c r="E52" s="111"/>
      <c r="F52" s="111"/>
      <c r="G52" s="111"/>
      <c r="H52" s="112" t="s">
        <v>517</v>
      </c>
      <c r="I52" s="122">
        <v>19</v>
      </c>
      <c r="J52" s="123">
        <f t="shared" si="3"/>
        <v>1268</v>
      </c>
      <c r="K52" s="123">
        <v>1269</v>
      </c>
      <c r="L52" s="124">
        <f t="shared" si="1"/>
        <v>1270</v>
      </c>
      <c r="M52" s="111"/>
      <c r="N52" s="125"/>
      <c r="O52" s="111"/>
      <c r="P52" s="112" t="s">
        <v>517</v>
      </c>
    </row>
    <row r="53">
      <c r="A53" s="107"/>
      <c r="B53" s="107"/>
      <c r="C53" s="107"/>
      <c r="D53" s="107"/>
      <c r="E53" s="107"/>
      <c r="F53" s="107"/>
      <c r="G53" s="107"/>
      <c r="H53" s="107"/>
    </row>
    <row r="54">
      <c r="A54" s="107"/>
      <c r="B54" s="107"/>
      <c r="C54" s="107"/>
      <c r="D54" s="107"/>
      <c r="E54" s="107"/>
      <c r="F54" s="107"/>
      <c r="G54" s="107"/>
      <c r="H54" s="107"/>
    </row>
    <row r="79">
      <c r="A79" s="107"/>
      <c r="B79" s="107"/>
      <c r="C79" s="107"/>
      <c r="D79" s="107"/>
      <c r="E79" s="107"/>
      <c r="F79" s="107"/>
      <c r="G79" s="107"/>
      <c r="H79" s="107"/>
    </row>
    <row r="80">
      <c r="A80" s="107"/>
      <c r="B80" s="107"/>
      <c r="C80" s="107"/>
      <c r="D80" s="107"/>
      <c r="E80" s="107"/>
      <c r="F80" s="107"/>
      <c r="G80" s="107"/>
      <c r="H80" s="107"/>
    </row>
    <row r="82">
      <c r="A82" s="107"/>
      <c r="B82" s="107"/>
      <c r="C82" s="107"/>
      <c r="D82" s="107"/>
      <c r="E82" s="107"/>
      <c r="F82" s="107"/>
      <c r="G82" s="107"/>
      <c r="H82" s="107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3"/>
    <col min="3" max="3" bestFit="1" width="25.85546875" customWidth="1" style="3"/>
    <col min="4" max="4" width="11.42578125" customWidth="1" style="2"/>
    <col min="5" max="5" width="11.7109375" customWidth="1" style="2"/>
    <col min="6" max="6" width="12" customWidth="1" style="2"/>
    <col min="7" max="7" width="10.5703125" customWidth="1" style="2"/>
    <col min="8" max="9" width="9.140625" customWidth="1" style="3"/>
    <col min="10" max="10" bestFit="1" width="12" customWidth="1" style="3"/>
    <col min="11" max="11" width="9.140625" customWidth="1" style="2"/>
    <col min="12" max="16384" width="9.140625" customWidth="1" style="3"/>
  </cols>
  <sheetData>
    <row r="1">
      <c r="A1" s="766" t="s">
        <v>446</v>
      </c>
      <c r="B1" s="767"/>
      <c r="C1" s="67"/>
      <c r="D1" s="126" t="s">
        <v>447</v>
      </c>
      <c r="E1" s="126" t="s">
        <v>448</v>
      </c>
      <c r="F1" s="126" t="s">
        <v>449</v>
      </c>
      <c r="G1" s="126" t="s">
        <v>450</v>
      </c>
      <c r="H1" s="127" t="s">
        <v>451</v>
      </c>
    </row>
    <row r="2">
      <c r="A2" s="768"/>
      <c r="B2" s="769"/>
      <c r="C2" s="3" t="s">
        <v>452</v>
      </c>
      <c r="D2" s="2">
        <f>تسجيل1!E7</f>
        <v>700</v>
      </c>
      <c r="E2" s="2">
        <f>تسجيل1!E7</f>
        <v>700</v>
      </c>
      <c r="F2" s="2">
        <f>تسجيل1!E7</f>
        <v>700</v>
      </c>
      <c r="G2" s="2">
        <f>تسجيل1!E7</f>
        <v>700</v>
      </c>
      <c r="H2" s="128">
        <f>تسجيل1!E7</f>
        <v>700</v>
      </c>
    </row>
    <row r="3">
      <c r="A3" s="768"/>
      <c r="B3" s="769"/>
      <c r="C3" s="3" t="s">
        <v>453</v>
      </c>
      <c r="D3" s="2">
        <f>IF(تسجيل1!R25=0,0,تسجيل1!R25)</f>
        <v>0</v>
      </c>
      <c r="E3" s="2">
        <f>IF(تسجيل1!R25=0,0,تسجيل1!R25)</f>
        <v>0</v>
      </c>
      <c r="F3" s="2">
        <f>IF(تسجيل1!R25=0,0,تسجيل1!R25)</f>
        <v>0</v>
      </c>
      <c r="G3" s="2">
        <f>IF(تسجيل1!R25=0,0,تسجيل1!R25)</f>
        <v>0</v>
      </c>
      <c r="H3" s="128">
        <f>IF(تسجيل1!R25=0,0,تسجيل1!R25)</f>
        <v>0</v>
      </c>
    </row>
    <row r="4">
      <c r="A4" s="768"/>
      <c r="B4" s="769"/>
      <c r="C4" s="3" t="s">
        <v>454</v>
      </c>
      <c r="D4" s="2">
        <v>8</v>
      </c>
      <c r="E4" s="2">
        <v>14</v>
      </c>
      <c r="F4" s="2">
        <v>12</v>
      </c>
      <c r="G4" s="2">
        <v>10</v>
      </c>
      <c r="H4" s="128">
        <f>تسجيل1!M29</f>
        <v>0</v>
      </c>
    </row>
    <row r="5">
      <c r="A5" s="768"/>
      <c r="B5" s="769"/>
      <c r="H5" s="91"/>
      <c r="K5" s="2" t="s">
        <v>269</v>
      </c>
      <c r="L5" s="3" t="s">
        <v>455</v>
      </c>
    </row>
    <row r="6">
      <c r="A6" s="768"/>
      <c r="B6" s="769"/>
      <c r="C6" s="3" t="s">
        <v>456</v>
      </c>
      <c r="D6" s="2">
        <f>IF(D3=0,D2,D2-D3-D4+10)</f>
        <v>700</v>
      </c>
      <c r="E6" s="2">
        <f>IF(E3=0,E2,E2-E3-E4+10)</f>
        <v>700</v>
      </c>
      <c r="F6" s="2">
        <f>IF(F3=0,F2,F2-F3-F4+10)</f>
        <v>700</v>
      </c>
      <c r="G6" s="2">
        <f>IF(G3=0,G2,G2-G3-G4+10)</f>
        <v>700</v>
      </c>
      <c r="H6" s="128">
        <f>IF(H3=0,H2,H2-H3-H4+10)</f>
        <v>700</v>
      </c>
      <c r="J6" s="3" t="s">
        <v>457</v>
      </c>
      <c r="K6" s="2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3">
        <f>IF(Format!E8=1,تسجيل1!E7-30,IF(Format!E8=2,D7,IF(Format!E8=3,E7,IF(Format!E8=4,F7,IF(Format!E8=5,G7,IF(Format!E8=6,H7,"-----"))))))</f>
        <v>670</v>
      </c>
    </row>
    <row r="7">
      <c r="A7" s="770"/>
      <c r="B7" s="771"/>
      <c r="C7" s="62" t="s">
        <v>458</v>
      </c>
      <c r="D7" s="129">
        <f>D6-30</f>
        <v>670</v>
      </c>
      <c r="E7" s="129">
        <f>E6-17</f>
        <v>683</v>
      </c>
      <c r="F7" s="129">
        <f>F6-30</f>
        <v>670</v>
      </c>
      <c r="G7" s="129">
        <f>G6-17</f>
        <v>683</v>
      </c>
      <c r="H7" s="130">
        <f>H6-30</f>
        <v>670</v>
      </c>
    </row>
    <row r="10">
      <c r="A10" s="772" t="s">
        <v>459</v>
      </c>
      <c r="B10" s="773"/>
      <c r="C10" s="67"/>
      <c r="D10" s="126" t="s">
        <v>447</v>
      </c>
      <c r="E10" s="126" t="s">
        <v>448</v>
      </c>
      <c r="F10" s="126" t="s">
        <v>449</v>
      </c>
      <c r="G10" s="126" t="s">
        <v>450</v>
      </c>
      <c r="H10" s="127" t="s">
        <v>451</v>
      </c>
    </row>
    <row r="11">
      <c r="A11" s="774"/>
      <c r="B11" s="775"/>
      <c r="C11" s="3" t="s">
        <v>452</v>
      </c>
      <c r="D11" s="2">
        <f>تسجيل1!E7</f>
        <v>700</v>
      </c>
      <c r="E11" s="2">
        <f>تسجيل1!E7</f>
        <v>700</v>
      </c>
      <c r="F11" s="2">
        <f>تسجيل1!E7</f>
        <v>700</v>
      </c>
      <c r="G11" s="2">
        <f>تسجيل1!E7</f>
        <v>700</v>
      </c>
      <c r="H11" s="128">
        <f>تسجيل1!E7</f>
        <v>700</v>
      </c>
    </row>
    <row r="12">
      <c r="A12" s="774"/>
      <c r="B12" s="775"/>
      <c r="C12" s="3" t="s">
        <v>453</v>
      </c>
      <c r="D12" s="2">
        <f>IF(تسجيل1!R25=0,0,تسجيل1!R25)</f>
        <v>0</v>
      </c>
      <c r="E12" s="2">
        <f>IF(تسجيل1!R25=0,0,تسجيل1!R25)</f>
        <v>0</v>
      </c>
      <c r="F12" s="2">
        <f>IF(تسجيل1!R25=0,0,تسجيل1!R25)</f>
        <v>0</v>
      </c>
      <c r="G12" s="2">
        <f>IF(تسجيل1!R25=0,0,تسجيل1!R25)</f>
        <v>0</v>
      </c>
      <c r="H12" s="128">
        <f>IF(تسجيل1!R25=0,0,تسجيل1!R25)</f>
        <v>0</v>
      </c>
    </row>
    <row r="13">
      <c r="A13" s="774"/>
      <c r="B13" s="775"/>
      <c r="C13" s="3" t="s">
        <v>454</v>
      </c>
      <c r="D13" s="2">
        <v>8</v>
      </c>
      <c r="E13" s="2">
        <v>14</v>
      </c>
      <c r="F13" s="2">
        <v>12</v>
      </c>
      <c r="G13" s="2">
        <v>10</v>
      </c>
      <c r="H13" s="128">
        <f>تسجيل1!M29</f>
        <v>0</v>
      </c>
      <c r="K13" s="2" t="s">
        <v>269</v>
      </c>
      <c r="L13" s="3" t="s">
        <v>455</v>
      </c>
    </row>
    <row r="14">
      <c r="A14" s="774"/>
      <c r="B14" s="775"/>
      <c r="H14" s="91"/>
      <c r="J14" s="3" t="s">
        <v>457</v>
      </c>
      <c r="K14" s="2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3">
        <f>IF(Format!E8=1,تسجيل1!E7-30,IF(Format!E8=2,D16,IF(Format!E8=3,E16,IF(Format!E8=4,F16,IF(Format!E8=5,G16,IF(Format!E8=6,H16))))))</f>
        <v>670</v>
      </c>
    </row>
    <row r="15">
      <c r="A15" s="774"/>
      <c r="B15" s="775"/>
      <c r="C15" s="3" t="s">
        <v>456</v>
      </c>
      <c r="D15" s="2">
        <f>IF(D12=0,D11,D11-D12-D13+11)</f>
        <v>700</v>
      </c>
      <c r="E15" s="2">
        <f>IF(E12=0,E11,E11-E12-E13+11)</f>
        <v>700</v>
      </c>
      <c r="F15" s="2">
        <f>IF(F12=0,F11,F11-F12-F13+11)</f>
        <v>700</v>
      </c>
      <c r="G15" s="2">
        <f>IF(G12=0,G11,G11-G12-G13+11)</f>
        <v>700</v>
      </c>
      <c r="H15" s="128">
        <f>IF(H12=0,H11,H11-H12-H13+11)</f>
        <v>700</v>
      </c>
      <c r="Q15" s="2" t="s">
        <v>460</v>
      </c>
      <c r="R15" s="3" t="s">
        <v>461</v>
      </c>
    </row>
    <row r="16">
      <c r="A16" s="776"/>
      <c r="B16" s="777"/>
      <c r="C16" s="62" t="s">
        <v>458</v>
      </c>
      <c r="D16" s="129">
        <f>D15-30</f>
        <v>670</v>
      </c>
      <c r="E16" s="129">
        <f>E15-17</f>
        <v>683</v>
      </c>
      <c r="F16" s="129">
        <f>F15-30</f>
        <v>670</v>
      </c>
      <c r="G16" s="129">
        <f>G15-17</f>
        <v>683</v>
      </c>
      <c r="H16" s="130">
        <f>H15-30</f>
        <v>670</v>
      </c>
      <c r="Q16" s="3">
        <f>IF(Format!A7=1,K6,IF(Format!A7=3,K6,IF(Format!A7=4,K23,IF(Format!A7=2,K23,IF(Format!A7=5,K14,"------")))))</f>
        <v>700</v>
      </c>
      <c r="R16" s="3">
        <f>IF(Format!A7=1,L6,IF(Format!A7=3,L6,IF(Format!A7=4,L23,IF(Format!A7=2,L23+2,IF(Format!A7=5,L14,"------")))))</f>
        <v>672</v>
      </c>
    </row>
    <row r="19">
      <c r="A19" s="778" t="s">
        <v>462</v>
      </c>
      <c r="B19" s="779"/>
      <c r="C19" s="67"/>
      <c r="D19" s="126" t="s">
        <v>447</v>
      </c>
      <c r="E19" s="126" t="s">
        <v>448</v>
      </c>
      <c r="F19" s="126" t="s">
        <v>449</v>
      </c>
      <c r="G19" s="126" t="s">
        <v>450</v>
      </c>
      <c r="H19" s="127" t="s">
        <v>451</v>
      </c>
    </row>
    <row r="20">
      <c r="A20" s="780"/>
      <c r="B20" s="781"/>
      <c r="C20" s="3" t="s">
        <v>452</v>
      </c>
      <c r="D20" s="2">
        <f>تسجيل1!E7</f>
        <v>700</v>
      </c>
      <c r="E20" s="2">
        <f>تسجيل1!E7</f>
        <v>700</v>
      </c>
      <c r="F20" s="2">
        <f>تسجيل1!E7</f>
        <v>700</v>
      </c>
      <c r="G20" s="2">
        <f>تسجيل1!E7</f>
        <v>700</v>
      </c>
      <c r="H20" s="128">
        <f>تسجيل1!E7</f>
        <v>700</v>
      </c>
    </row>
    <row r="21">
      <c r="A21" s="780"/>
      <c r="B21" s="781"/>
      <c r="C21" s="3" t="s">
        <v>453</v>
      </c>
      <c r="D21" s="2">
        <f>IF(تسجيل1!R25=0,0,تسجيل1!R25)</f>
        <v>0</v>
      </c>
      <c r="E21" s="2">
        <f>IF(تسجيل1!R25=0,0,تسجيل1!R25)</f>
        <v>0</v>
      </c>
      <c r="F21" s="2">
        <f>IF(تسجيل1!R25=0,0,تسجيل1!R25)</f>
        <v>0</v>
      </c>
      <c r="G21" s="2">
        <f>IF(تسجيل1!R25=0,0,تسجيل1!R25)</f>
        <v>0</v>
      </c>
      <c r="H21" s="128">
        <f>IF(تسجيل1!R25=0,0,تسجيل1!R25)</f>
        <v>0</v>
      </c>
    </row>
    <row r="22">
      <c r="A22" s="780"/>
      <c r="B22" s="781"/>
      <c r="C22" s="3" t="s">
        <v>454</v>
      </c>
      <c r="D22" s="2">
        <v>8</v>
      </c>
      <c r="E22" s="2">
        <v>14</v>
      </c>
      <c r="F22" s="2">
        <v>12</v>
      </c>
      <c r="G22" s="2">
        <v>10</v>
      </c>
      <c r="H22" s="128">
        <f>تسجيل1!M38</f>
        <v>0</v>
      </c>
      <c r="K22" s="2" t="s">
        <v>269</v>
      </c>
      <c r="L22" s="3" t="s">
        <v>455</v>
      </c>
    </row>
    <row r="23">
      <c r="A23" s="780"/>
      <c r="B23" s="781"/>
      <c r="H23" s="91"/>
      <c r="J23" s="3" t="s">
        <v>457</v>
      </c>
      <c r="K23" s="2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3">
        <f>IF(Format!E8=1,تسجيل1!E7-30,IF(Format!E8=2,D25,IF(Format!E8=3,E25,IF(Format!E8=4,F25,IF(Format!E8=5,G25,IF(Format!E8=6,H25))))))</f>
        <v>670</v>
      </c>
    </row>
    <row r="24">
      <c r="A24" s="780"/>
      <c r="B24" s="781"/>
      <c r="C24" s="3" t="s">
        <v>456</v>
      </c>
      <c r="D24" s="2">
        <f>IF(D21=0,D20,D20-D21-D22+11)</f>
        <v>700</v>
      </c>
      <c r="E24" s="2">
        <f>IF(E21=0,E20,E20-E21-E22+11)</f>
        <v>700</v>
      </c>
      <c r="F24" s="2">
        <f>IF(F21=0,F20,F20-F21-F22+11)</f>
        <v>700</v>
      </c>
      <c r="G24" s="2">
        <f>IF(G21=0,G20,G20-G21-G22+11)</f>
        <v>700</v>
      </c>
      <c r="H24" s="128">
        <f>IF(H21=0,H20,H20-H21-H22+11)</f>
        <v>700</v>
      </c>
    </row>
    <row r="25">
      <c r="A25" s="782"/>
      <c r="B25" s="783"/>
      <c r="C25" s="62" t="s">
        <v>458</v>
      </c>
      <c r="D25" s="129">
        <f>D24-30</f>
        <v>670</v>
      </c>
      <c r="E25" s="129">
        <f>E24-13</f>
        <v>687</v>
      </c>
      <c r="F25" s="129">
        <f>F24-30</f>
        <v>670</v>
      </c>
      <c r="G25" s="129">
        <f>G24-13</f>
        <v>687</v>
      </c>
      <c r="H25" s="130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bestFit="1" width="20.7109375" customWidth="1" style="3"/>
    <col min="2" max="2" bestFit="1" width="12" customWidth="1" style="2"/>
    <col min="3" max="9" width="9.140625" customWidth="1" style="3"/>
    <col min="10" max="10" bestFit="1" width="9.5703125" customWidth="1" style="3"/>
    <col min="11" max="11" bestFit="1" width="20.5703125" customWidth="1" style="3"/>
    <col min="12" max="12" width="9.140625" customWidth="1" style="2"/>
    <col min="13" max="14" width="9.140625" customWidth="1" style="3"/>
    <col min="15" max="15" bestFit="1" width="32.5703125" customWidth="1" style="3"/>
    <col min="16" max="16384" width="9.140625" customWidth="1" style="3"/>
  </cols>
  <sheetData>
    <row r="1">
      <c r="A1" s="2"/>
    </row>
    <row r="2">
      <c r="A2" s="2"/>
      <c r="J2" s="2" t="s">
        <v>436</v>
      </c>
      <c r="K2" s="2" t="s">
        <v>437</v>
      </c>
      <c r="O2" s="2" t="s">
        <v>438</v>
      </c>
    </row>
    <row r="3">
      <c r="A3" s="2" t="s">
        <v>268</v>
      </c>
      <c r="B3" s="2" t="str">
        <f>Format!B17</f>
        <v>EVO 150X70</v>
      </c>
      <c r="J3" s="9">
        <v>3</v>
      </c>
      <c r="K3" s="9">
        <v>2</v>
      </c>
    </row>
    <row r="4">
      <c r="A4" s="2" t="s">
        <v>439</v>
      </c>
      <c r="B4" s="2">
        <f>تسجيل1!C7</f>
        <v>450</v>
      </c>
      <c r="J4" s="9">
        <v>4</v>
      </c>
      <c r="K4" s="9">
        <v>2</v>
      </c>
    </row>
    <row r="5">
      <c r="A5" s="2" t="s">
        <v>269</v>
      </c>
      <c r="B5" s="2">
        <f>تسجيل1!E7</f>
        <v>700</v>
      </c>
      <c r="J5" s="9">
        <v>5</v>
      </c>
      <c r="K5" s="9">
        <v>3</v>
      </c>
      <c r="L5" s="2">
        <f>IF(B6&lt;3,2,IF(B6&lt;4,2,IF(B6&lt;5,2,IF(B6&lt;6,3,IF(B6&lt;7,3,IF(B6&lt;8,3,IF(B6&lt;8,4,L11)))))))</f>
        <v>4</v>
      </c>
    </row>
    <row r="6">
      <c r="A6" s="2" t="s">
        <v>436</v>
      </c>
      <c r="B6" s="2">
        <f>'Cutting Ro-1'!L14</f>
        <v>10</v>
      </c>
      <c r="C6" s="2" t="s">
        <v>440</v>
      </c>
      <c r="D6" s="1">
        <v>2</v>
      </c>
      <c r="J6" s="9">
        <v>6</v>
      </c>
      <c r="K6" s="9">
        <v>3</v>
      </c>
    </row>
    <row r="7">
      <c r="A7" s="2"/>
      <c r="J7" s="9">
        <v>7</v>
      </c>
      <c r="K7" s="9">
        <v>3</v>
      </c>
    </row>
    <row r="8">
      <c r="A8" s="2"/>
      <c r="J8" s="131">
        <v>8</v>
      </c>
      <c r="K8" s="131">
        <v>4</v>
      </c>
      <c r="O8" s="2">
        <f>IF(B6&lt;8,L5,IF(B6&lt;15,L11,IF(B6&lt;21,L17,"-------")))</f>
        <v>4</v>
      </c>
    </row>
    <row r="9">
      <c r="A9" s="2" t="s">
        <v>441</v>
      </c>
      <c r="B9" s="2">
        <f>O8</f>
        <v>4</v>
      </c>
      <c r="J9" s="9">
        <v>9</v>
      </c>
      <c r="K9" s="9">
        <v>4</v>
      </c>
    </row>
    <row r="10">
      <c r="A10" s="132" t="s">
        <v>442</v>
      </c>
      <c r="B10" s="133">
        <f>(((B4-(تسجيل1!C22*2))/200)+1)*B9</f>
        <v>11</v>
      </c>
      <c r="C10" s="648" t="s">
        <v>443</v>
      </c>
      <c r="D10" s="648"/>
      <c r="E10" s="6">
        <f>ROUND(B10,0)</f>
        <v>11</v>
      </c>
      <c r="J10" s="9">
        <v>10</v>
      </c>
      <c r="K10" s="9">
        <v>4</v>
      </c>
    </row>
    <row r="11">
      <c r="A11" s="132" t="s">
        <v>444</v>
      </c>
      <c r="B11" s="133">
        <f>E10/B9</f>
        <v>2.75</v>
      </c>
      <c r="C11" s="648" t="s">
        <v>443</v>
      </c>
      <c r="D11" s="648"/>
      <c r="E11" s="6">
        <f>ROUND(B11,0)</f>
        <v>3</v>
      </c>
      <c r="J11" s="9">
        <v>11</v>
      </c>
      <c r="K11" s="9">
        <v>5</v>
      </c>
      <c r="L11" s="2">
        <f>IF(B6&lt;9,4,IF(B6&lt;10,4,IF(B6&lt;11,4,IF(B6&lt;12,5,IF(B6&lt;13,5,IF(B6&lt;14,5,IF(B6&lt;15,5,L17)))))))</f>
        <v>4</v>
      </c>
    </row>
    <row r="12">
      <c r="A12" s="132" t="s">
        <v>445</v>
      </c>
      <c r="B12" s="6">
        <f>E11*B9</f>
        <v>12</v>
      </c>
      <c r="J12" s="9">
        <v>12</v>
      </c>
      <c r="K12" s="9">
        <v>5</v>
      </c>
    </row>
    <row r="13">
      <c r="J13" s="9">
        <v>13</v>
      </c>
      <c r="K13" s="9">
        <v>5</v>
      </c>
    </row>
    <row r="14">
      <c r="J14" s="131">
        <v>14</v>
      </c>
      <c r="K14" s="131">
        <v>5</v>
      </c>
    </row>
    <row r="15">
      <c r="J15" s="9">
        <v>15</v>
      </c>
      <c r="K15" s="9">
        <v>5</v>
      </c>
    </row>
    <row r="16">
      <c r="J16" s="9">
        <v>16</v>
      </c>
      <c r="K16" s="9">
        <v>6</v>
      </c>
    </row>
    <row r="17">
      <c r="J17" s="9">
        <v>17</v>
      </c>
      <c r="K17" s="9">
        <v>6</v>
      </c>
      <c r="L17" s="2">
        <f>IF(B6&lt;16,5,IF(B6&lt;17,6,IF(B6&lt;18,6,IF(B6&lt;19,6,IF(B6&lt;20,6,IF(B6&lt;21,6,"-------"))))))</f>
        <v>5</v>
      </c>
    </row>
    <row r="18">
      <c r="J18" s="9">
        <v>18</v>
      </c>
      <c r="K18" s="9">
        <v>6</v>
      </c>
    </row>
    <row r="19">
      <c r="J19" s="9">
        <v>19</v>
      </c>
      <c r="K19" s="9">
        <v>6</v>
      </c>
    </row>
    <row r="20">
      <c r="J20" s="9">
        <v>20</v>
      </c>
      <c r="K20" s="9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bestFit="1" width="15.140625" customWidth="1" style="2"/>
    <col min="2" max="2" width="12.140625" customWidth="1" style="2"/>
    <col min="3" max="3" bestFit="1" width="23.28515625" customWidth="1" style="2"/>
    <col min="4" max="16384" width="9.140625" customWidth="1" style="2"/>
  </cols>
  <sheetData>
    <row r="1">
      <c r="A1" s="2" t="s">
        <v>268</v>
      </c>
      <c r="B1" s="2" t="s">
        <v>269</v>
      </c>
      <c r="C1" s="2" t="s">
        <v>270</v>
      </c>
    </row>
    <row r="2">
      <c r="A2" s="2" t="str">
        <f>IF(Format!A7=1,Format!A2,IF(Format!A7=2,Format!A3,IF(Format!A7=3,Format!A4,IF(Format!A7=4,Format!A5,IF(Format!A7=5,Format!A6)))))</f>
        <v>EVO 150X70</v>
      </c>
      <c r="B2" s="2">
        <f>تسجيل1!E7</f>
        <v>700</v>
      </c>
      <c r="C2" s="2" t="str">
        <f>IF(Format!N8=1,Format!N2,IF(Format!N8=2,Format!N3,IF(Format!N8=3,Format!N4,IF(Format!N8=4,Format!N5,IF(Format!N8=5,Format!N6,IF(Format!N8=6,Format!N7,"--------"))))))</f>
        <v>13cm</v>
      </c>
    </row>
    <row r="5">
      <c r="A5" s="134"/>
      <c r="B5" s="126"/>
      <c r="C5" s="126"/>
      <c r="D5" s="126"/>
      <c r="E5" s="126"/>
      <c r="F5" s="126"/>
      <c r="G5" s="126"/>
      <c r="H5" s="126"/>
      <c r="I5" s="126"/>
      <c r="J5" s="126"/>
      <c r="K5" s="127"/>
    </row>
    <row r="6">
      <c r="A6" s="90" t="s">
        <v>271</v>
      </c>
      <c r="C6" s="2">
        <f>IF(Format!N8=1,'Format διαστασης οδηγου'!B2-32,IF(Format!N8=2,'Format διαστασης οδηγου'!B2-43,"-------"))</f>
        <v>668</v>
      </c>
      <c r="K6" s="128"/>
    </row>
    <row r="7">
      <c r="A7" s="90" t="s">
        <v>272</v>
      </c>
      <c r="C7" s="2">
        <f>IF(Format!N8=1,'Format διαστασης οδηγου'!B2-35,IF(Format!N8=3,'Format διαστασης οδηγου'!B2-36,IF(Format!N8=4,'Format διαστασης οδηγου'!B2-32,"-------")))</f>
        <v>665</v>
      </c>
      <c r="H7" s="784" t="s">
        <v>273</v>
      </c>
      <c r="I7" s="784"/>
      <c r="J7" s="784"/>
      <c r="K7" s="785"/>
    </row>
    <row r="8">
      <c r="A8" s="90" t="s">
        <v>274</v>
      </c>
      <c r="C8" s="2">
        <f>IF(Format!N8=1,'Format διαστασης οδηγου'!B2-32,"-------")</f>
        <v>668</v>
      </c>
      <c r="F8" s="2">
        <f>IF(Format!A7=1,C6,IF(Format!A7=2,C7,IF(Format!A7=3,C8,IF(Format!A7=4,C9,IF(Format!A7=5,C10)))))</f>
        <v>665</v>
      </c>
      <c r="H8" s="784"/>
      <c r="I8" s="784"/>
      <c r="J8" s="784"/>
      <c r="K8" s="785"/>
    </row>
    <row r="9">
      <c r="A9" s="90" t="s">
        <v>275</v>
      </c>
      <c r="C9" s="2" t="str">
        <f>IF(Format!N8=5,'Format διαστασης οδηγου'!B2-35,IF(Format!N8=6,'Format διαστασης οδηγου'!B2-31,"-------"))</f>
        <v>-------</v>
      </c>
      <c r="H9" s="784"/>
      <c r="I9" s="784"/>
      <c r="J9" s="784"/>
      <c r="K9" s="785"/>
    </row>
    <row r="10">
      <c r="A10" s="90" t="s">
        <v>276</v>
      </c>
      <c r="C10" s="2">
        <f>B2-32</f>
        <v>668</v>
      </c>
      <c r="K10" s="128"/>
    </row>
    <row r="11">
      <c r="A11" s="135"/>
      <c r="B11" s="129"/>
      <c r="C11" s="129"/>
      <c r="D11" s="129"/>
      <c r="E11" s="129"/>
      <c r="F11" s="129"/>
      <c r="G11" s="129"/>
      <c r="H11" s="129"/>
      <c r="I11" s="129"/>
      <c r="J11" s="129"/>
      <c r="K11" s="130"/>
    </row>
    <row r="13">
      <c r="A13" s="134"/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>
      <c r="A14" s="90" t="s">
        <v>271</v>
      </c>
      <c r="C14" s="2">
        <f>IF(Format!N8=1,B2,IF(Format!N8=2,'Format διαστασης οδηγου'!B2-11,"-------"))</f>
        <v>700</v>
      </c>
      <c r="K14" s="128"/>
    </row>
    <row r="15">
      <c r="A15" s="90" t="s">
        <v>272</v>
      </c>
      <c r="C15" s="2">
        <f>IF(Format!N8=3,'Format διαστασης οδηγου'!B2-5,IF(Format!N8=1,'Format διαστασης οδηγου'!B2,IF(Format!N8=4,'Format διαστασης οδηγου'!B2,"-------")))</f>
        <v>700</v>
      </c>
      <c r="H15" s="784" t="s">
        <v>277</v>
      </c>
      <c r="I15" s="784"/>
      <c r="J15" s="784"/>
      <c r="K15" s="785"/>
    </row>
    <row r="16">
      <c r="A16" s="90" t="s">
        <v>274</v>
      </c>
      <c r="C16" s="2">
        <f>IF(Format!N8=1,'Format διαστασης οδηγου'!B2,"-------")</f>
        <v>700</v>
      </c>
      <c r="F16" s="2">
        <f>IF(Format!A7=1,C14,IF(Format!A7=2,C15,IF(Format!A7=3,C16,IF(Format!A7=4,C17,IF(Format!A7=5,C118)))))</f>
        <v>700</v>
      </c>
      <c r="H16" s="784"/>
      <c r="I16" s="784"/>
      <c r="J16" s="784"/>
      <c r="K16" s="785"/>
    </row>
    <row r="17">
      <c r="A17" s="90" t="s">
        <v>275</v>
      </c>
      <c r="C17" s="2" t="str">
        <f>IF(Format!N8=5,'Format διαστασης οδηγου'!B2-6,IF(Format!N8=6,'Format διαστασης οδηγου'!B2-2,"-------"))</f>
        <v>-------</v>
      </c>
      <c r="H17" s="784"/>
      <c r="I17" s="784"/>
      <c r="J17" s="784"/>
      <c r="K17" s="785"/>
    </row>
    <row r="18">
      <c r="A18" s="90" t="s">
        <v>276</v>
      </c>
      <c r="C18" s="2">
        <f>B2</f>
        <v>700</v>
      </c>
      <c r="K18" s="128"/>
    </row>
    <row r="19">
      <c r="A19" s="135"/>
      <c r="B19" s="129"/>
      <c r="C19" s="129"/>
      <c r="D19" s="129"/>
      <c r="E19" s="129"/>
      <c r="F19" s="129"/>
      <c r="G19" s="129"/>
      <c r="H19" s="129"/>
      <c r="I19" s="129"/>
      <c r="J19" s="129"/>
      <c r="K19" s="130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A49" zoomScale="55" zoomScaleNormal="55" workbookViewId="0">
      <selection activeCell="Q62" sqref="Q62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4.28515625" customWidth="1" style="2"/>
    <col min="9" max="9" width="4" customWidth="1" style="2"/>
    <col min="10" max="10" width="9.14062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6.7109375" customWidth="1" style="2"/>
    <col min="39" max="39" width="17" customWidth="1" style="2"/>
    <col min="40" max="16384" width="9.140625" customWidth="1" style="2"/>
  </cols>
  <sheetData>
    <row r="1" ht="21.75">
      <c r="A1" s="378" t="s">
        <v>278</v>
      </c>
      <c r="B1" s="379">
        <f>(F1*D1)/10000</f>
        <v>13.092225</v>
      </c>
      <c r="C1" s="380" t="s">
        <v>10</v>
      </c>
      <c r="D1" s="381">
        <f>تسعير!BA12</f>
        <v>340.5</v>
      </c>
      <c r="E1" s="380" t="s">
        <v>9</v>
      </c>
      <c r="F1" s="381">
        <f>تسعير!AV10</f>
        <v>384.5</v>
      </c>
      <c r="G1" s="79"/>
      <c r="H1" s="79"/>
      <c r="I1" s="79"/>
      <c r="J1" s="79"/>
      <c r="K1" s="79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212" t="s">
        <v>42</v>
      </c>
      <c r="W1" s="193"/>
      <c r="X1" s="190"/>
      <c r="Y1" s="190" t="s">
        <v>43</v>
      </c>
      <c r="Z1" s="190" t="s">
        <v>44</v>
      </c>
      <c r="AA1" s="190" t="s">
        <v>45</v>
      </c>
      <c r="AB1" s="190" t="s">
        <v>46</v>
      </c>
      <c r="AC1" s="190" t="s">
        <v>47</v>
      </c>
      <c r="AD1" s="190" t="s">
        <v>48</v>
      </c>
      <c r="AE1" s="190" t="s">
        <v>49</v>
      </c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</row>
    <row r="2" ht="21.75">
      <c r="A2" s="382" t="s">
        <v>279</v>
      </c>
      <c r="B2" s="383" t="s">
        <v>280</v>
      </c>
      <c r="C2" s="383" t="s">
        <v>281</v>
      </c>
      <c r="D2" s="383" t="s">
        <v>110</v>
      </c>
      <c r="E2" s="383" t="s">
        <v>282</v>
      </c>
      <c r="F2" s="383" t="s">
        <v>187</v>
      </c>
      <c r="G2" s="2" t="s">
        <v>43</v>
      </c>
      <c r="H2" s="2" t="s">
        <v>64</v>
      </c>
      <c r="I2" s="2" t="s">
        <v>133</v>
      </c>
      <c r="J2" s="2" t="s">
        <v>60</v>
      </c>
      <c r="L2" s="624"/>
      <c r="M2" s="625"/>
      <c r="N2" s="626"/>
      <c r="O2" s="209"/>
      <c r="P2" s="210"/>
      <c r="Q2" s="194">
        <f>O2*P2</f>
        <v>0</v>
      </c>
      <c r="R2" s="214" t="e">
        <f>R75/Q2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</row>
    <row r="3" ht="21.75">
      <c r="A3" s="383" t="s">
        <v>283</v>
      </c>
      <c r="B3" s="383">
        <f>MAX(G3:I3)</f>
        <v>3.5</v>
      </c>
      <c r="C3" s="383">
        <v>2.25</v>
      </c>
      <c r="D3" s="383">
        <f>IF((تسعير!$AT$6="سادة"),((wavy1!$U$2+15000)/1000),IF((تسعير!$AT$6="خشبي"),((wavy1!$U$2+wavy1!$V$2)/1000),0))</f>
        <v>167</v>
      </c>
      <c r="E3" s="383">
        <v>2</v>
      </c>
      <c r="F3" s="384">
        <f>B3*C3*D3*E3</f>
        <v>2630.25</v>
      </c>
      <c r="G3" s="385">
        <f>IF(D1&lt;=350,3.5,0)</f>
        <v>3.5</v>
      </c>
      <c r="H3" s="385">
        <f>IF(AND((D1&gt;350),(D1&lt;=500)),5,0)</f>
        <v>0</v>
      </c>
      <c r="I3" s="385">
        <f>IF(D1&gt;500,7,0)</f>
        <v>0</v>
      </c>
      <c r="J3" s="385"/>
      <c r="L3" s="627" t="s">
        <v>51</v>
      </c>
      <c r="M3" s="628"/>
      <c r="N3" s="395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B2</v>
      </c>
      <c r="O3" s="190"/>
      <c r="P3" s="190"/>
      <c r="Q3" s="211" t="s">
        <v>52</v>
      </c>
      <c r="R3" s="631">
        <f>NOW()</f>
        <v>45133.622111365738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</row>
    <row r="4" ht="18.75" s="383" customFormat="1">
      <c r="A4" s="383" t="s">
        <v>284</v>
      </c>
      <c r="B4" s="383">
        <f>MAX(G4:J4)</f>
        <v>4</v>
      </c>
      <c r="C4" s="383">
        <v>0.56</v>
      </c>
      <c r="D4" s="383">
        <f>IF((تسعير!$AT$6="سادة"),((wavy1!$U$2+15000)/1000),IF((تسعير!$AT$6="خشبي"),((wavy1!$U$2+wavy1!$V$2)/1000),0))</f>
        <v>167</v>
      </c>
      <c r="E4" s="383">
        <f>CEILING(D1/60,1)+1</f>
        <v>7</v>
      </c>
      <c r="F4" s="384">
        <f>B4*C4*D4*E4</f>
        <v>2618.5600000000004</v>
      </c>
      <c r="G4" s="385">
        <f>IF(F1&lt;=200,2,0)</f>
        <v>0</v>
      </c>
      <c r="H4" s="385">
        <f>IF(AND((F1&gt;200),(F1&lt;=250)),2.5,0)</f>
        <v>0</v>
      </c>
      <c r="I4" s="385">
        <f>IF(AND((F1&gt;250),(F1&lt;=400)),4,0)</f>
        <v>4</v>
      </c>
      <c r="J4" s="385">
        <f>IF(F1&gt;400,5,0)</f>
        <v>0</v>
      </c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120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 t="s">
        <v>43</v>
      </c>
      <c r="AP4" s="190" t="s">
        <v>64</v>
      </c>
      <c r="AQ4" s="190" t="s">
        <v>133</v>
      </c>
      <c r="AR4" s="190" t="s">
        <v>60</v>
      </c>
      <c r="AS4" s="190" t="s">
        <v>285</v>
      </c>
      <c r="AT4" s="190"/>
      <c r="AU4" s="190"/>
      <c r="AV4" s="190"/>
      <c r="AW4" s="190"/>
      <c r="AX4" s="190"/>
      <c r="AY4" s="190"/>
      <c r="AZ4" s="190"/>
      <c r="BA4" s="190"/>
      <c r="BB4" s="190"/>
    </row>
    <row r="5" ht="18.75" s="383" customFormat="1">
      <c r="A5" s="383" t="s">
        <v>286</v>
      </c>
      <c r="B5" s="383">
        <f>B3*3</f>
        <v>10.5</v>
      </c>
      <c r="D5" s="383">
        <v>50</v>
      </c>
      <c r="E5" s="383">
        <v>2</v>
      </c>
      <c r="F5" s="384">
        <f>B5*D5*E5</f>
        <v>1050</v>
      </c>
      <c r="G5" s="385"/>
      <c r="H5" s="385"/>
      <c r="I5" s="385"/>
      <c r="J5" s="385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110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250</v>
      </c>
      <c r="AB5" s="203">
        <v>75</v>
      </c>
      <c r="AC5" s="203">
        <v>1200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IF((تسعير!AT5="A"),IF(((Table158[[#Totals],[المسطح]]+Table1662[[#Totals],[Column12]])&gt;0),(Table158[[#Totals],[المسطح]]+Table1662[[#Totals],[Column12]]-Q6+1)*Table663[[#This Row],[المعدل]]),0)</f>
        <v>2.5600000000000005</v>
      </c>
      <c r="AN5" s="190"/>
      <c r="AO5" s="190" t="s">
        <v>287</v>
      </c>
      <c r="AP5" s="190">
        <v>0.03</v>
      </c>
      <c r="AQ5" s="190">
        <v>0.03</v>
      </c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</row>
    <row r="6" ht="18.75" s="383" customFormat="1">
      <c r="A6" s="383" t="s">
        <v>288</v>
      </c>
      <c r="B6" s="383">
        <f>E4*2</f>
        <v>14</v>
      </c>
      <c r="D6" s="383">
        <v>15</v>
      </c>
      <c r="F6" s="384">
        <f ref="F6:F14" t="shared" si="0">B6*D6</f>
        <v>210</v>
      </c>
      <c r="G6" s="385"/>
      <c r="H6" s="385"/>
      <c r="I6" s="385"/>
      <c r="J6" s="385"/>
      <c r="L6" s="205">
        <v>1</v>
      </c>
      <c r="M6" s="218">
        <f>IF((N3="A1"),0,IF((N3="A2"),0,IF((N3="B1"),3,IF((N3="B2"),3,0))))</f>
        <v>3</v>
      </c>
      <c r="N6" s="224" t="s">
        <v>76</v>
      </c>
      <c r="O6" s="204">
        <v>0.03</v>
      </c>
      <c r="P6" s="204">
        <v>0.03</v>
      </c>
      <c r="Q6" s="204">
        <f>(Table158[[#This Row],[Column1]]+Table158[[#This Row],[Column2]])*12*Table158[[#This Row],[عدد]]</f>
        <v>2.16</v>
      </c>
      <c r="R6" s="226" t="s">
        <v>77</v>
      </c>
      <c r="S6" s="205">
        <v>8.5</v>
      </c>
      <c r="T6" s="205">
        <f>Table158[[#This Row],[المسطح]]*Table158[[#This Row],[عدد]]</f>
        <v>6.48</v>
      </c>
      <c r="U6" s="220">
        <f>S6*$S$2/1000</f>
        <v>391</v>
      </c>
      <c r="V6" s="221">
        <f>M6*U6</f>
        <v>1173</v>
      </c>
      <c r="W6" s="222">
        <f ref="W6:W7" t="shared" si="1" ca="1">(V6)/$R$74</f>
        <v>0.033710931909897629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1250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AM5*Table663[[#This Row],[المعدل]]+4</f>
        <v>4.6400000000000006</v>
      </c>
      <c r="AN6" s="203"/>
      <c r="AO6" s="203" t="s">
        <v>289</v>
      </c>
      <c r="AP6" s="203">
        <v>0.05</v>
      </c>
      <c r="AQ6" s="203">
        <v>0.05</v>
      </c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</row>
    <row r="7" ht="18.75" s="383" customFormat="1">
      <c r="A7" s="383" t="s">
        <v>290</v>
      </c>
      <c r="B7" s="383">
        <f>(((D1/(E4-1)+10)*(E4-1))*F1)/10000</f>
        <v>15.399225</v>
      </c>
      <c r="D7" s="383">
        <v>225</v>
      </c>
      <c r="F7" s="384">
        <f t="shared" si="0"/>
        <v>3464.825625</v>
      </c>
      <c r="G7" s="385"/>
      <c r="H7" s="385"/>
      <c r="I7" s="385"/>
      <c r="J7" s="385"/>
      <c r="L7" s="205">
        <v>2</v>
      </c>
      <c r="M7" s="218">
        <f>IF((N3="A1"),2,IF((N3="A2"),3,IF((N3="B1"),2.5,IF((N3="B2"),3,0))))</f>
        <v>3</v>
      </c>
      <c r="N7" s="224" t="s">
        <v>291</v>
      </c>
      <c r="O7" s="225">
        <v>0.1</v>
      </c>
      <c r="P7" s="225">
        <v>0.05</v>
      </c>
      <c r="Q7" s="248">
        <f>(Table158[[#This Row],[Column1]]+Table158[[#This Row],[Column2]])*12*Table158[[#This Row],[عدد]]</f>
        <v>5.4</v>
      </c>
      <c r="R7" s="205" t="s">
        <v>77</v>
      </c>
      <c r="S7" s="244">
        <v>28.5</v>
      </c>
      <c r="T7" s="244">
        <f>Table158[[#This Row],[المسطح]]*Table158[[#This Row],[عدد]]</f>
        <v>16.200000000000003</v>
      </c>
      <c r="U7" s="220">
        <f>S7*$S$2/1000</f>
        <v>1311</v>
      </c>
      <c r="V7" s="247">
        <f>M7*U7</f>
        <v>3933</v>
      </c>
      <c r="W7" s="222">
        <f t="shared" si="1" ca="1"/>
        <v>0.11303077169789207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IF((تسعير!AT5="A"),IF(((Table158[[#Totals],[المسطح]]+Table1662[[#Totals],[Column12]])&gt;0),(Table158[[#Totals],[المسطح]]+Table1662[[#Totals],[Column12]]+1)*Table663[[#This Row],[المعدل]]),0)</f>
        <v>2.14</v>
      </c>
      <c r="AN7" s="203"/>
      <c r="AO7" s="203" t="s">
        <v>292</v>
      </c>
      <c r="AP7" s="203">
        <v>0.07</v>
      </c>
      <c r="AQ7" s="203">
        <v>0.07</v>
      </c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</row>
    <row r="8" ht="18.75" s="383" customFormat="1">
      <c r="A8" s="383" t="s">
        <v>293</v>
      </c>
      <c r="B8" s="383">
        <f>MAX(G8:H8)</f>
        <v>6</v>
      </c>
      <c r="D8" s="383">
        <v>320</v>
      </c>
      <c r="F8" s="384">
        <f t="shared" si="0"/>
        <v>1920</v>
      </c>
      <c r="G8" s="385">
        <f>IF(F1&lt;=300,3,0)</f>
        <v>0</v>
      </c>
      <c r="H8" s="385">
        <f>IF(F1&gt;300,6,0)</f>
        <v>6</v>
      </c>
      <c r="I8" s="385"/>
      <c r="J8" s="385"/>
      <c r="L8" s="205"/>
      <c r="M8" s="218"/>
      <c r="N8" s="219" t="s">
        <v>88</v>
      </c>
      <c r="O8" s="204"/>
      <c r="P8" s="204"/>
      <c r="Q8" s="203">
        <f>SUBTOTAL(109,Table158[المسطح])</f>
        <v>7.5600000000000005</v>
      </c>
      <c r="R8" s="205"/>
      <c r="S8" s="205">
        <f>(S7*M7)</f>
        <v>85.5</v>
      </c>
      <c r="T8" s="205">
        <f>SUBTOTAL(109,Table158[سعر الكيلو])</f>
        <v>22.680000000000003</v>
      </c>
      <c r="U8" s="226"/>
      <c r="V8" s="221">
        <f>SUBTOTAL(109,Table158[اجمالي])</f>
        <v>5106</v>
      </c>
      <c r="W8" s="243">
        <f>Table158[[#Totals],[اجمالي]]/$R$74</f>
        <v>0.14674170360778968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IF((تسعير!AT5="A"),IF(((Table158[[#Totals],[المسطح]]+Table1662[[#Totals],[Column12]])&gt;0),(Table158[[#Totals],[المسطح]]+Table1662[[#Totals],[Column12]]-Q6+1)*Table663[[#This Row],[المعدل]]),0)</f>
        <v>2.5600000000000005</v>
      </c>
      <c r="AN8" s="203"/>
      <c r="AO8" s="203" t="s">
        <v>294</v>
      </c>
      <c r="AP8" s="203">
        <v>0.1</v>
      </c>
      <c r="AQ8" s="203">
        <v>0.1</v>
      </c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</row>
    <row r="9" ht="18.75" s="383" customFormat="1">
      <c r="A9" s="383" t="s">
        <v>295</v>
      </c>
      <c r="B9" s="383">
        <v>2</v>
      </c>
      <c r="D9" s="383">
        <v>100</v>
      </c>
      <c r="F9" s="384">
        <f t="shared" si="0"/>
        <v>200</v>
      </c>
      <c r="G9" s="385"/>
      <c r="H9" s="385"/>
      <c r="I9" s="385"/>
      <c r="J9" s="385"/>
      <c r="L9" s="203"/>
      <c r="M9" s="203"/>
      <c r="N9" s="231"/>
      <c r="O9" s="629" t="s">
        <v>107</v>
      </c>
      <c r="P9" s="629"/>
      <c r="Q9" s="629"/>
      <c r="R9" s="629"/>
      <c r="S9" s="629"/>
      <c r="T9" s="629"/>
      <c r="U9" s="203"/>
      <c r="V9" s="203"/>
      <c r="W9" s="203"/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 t="s">
        <v>296</v>
      </c>
      <c r="AP9" s="203">
        <v>0.15</v>
      </c>
      <c r="AQ9" s="203">
        <v>0.15</v>
      </c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</row>
    <row r="10" ht="18.75" s="383" customFormat="1">
      <c r="A10" s="383" t="s">
        <v>297</v>
      </c>
      <c r="B10" s="383">
        <v>8</v>
      </c>
      <c r="D10" s="383">
        <v>35</v>
      </c>
      <c r="F10" s="384">
        <f t="shared" si="0"/>
        <v>280</v>
      </c>
      <c r="G10" s="385"/>
      <c r="H10" s="385"/>
      <c r="I10" s="385"/>
      <c r="J10" s="385"/>
      <c r="L10" s="205" t="s">
        <v>61</v>
      </c>
      <c r="M10" s="205" t="s">
        <v>62</v>
      </c>
      <c r="N10" s="233" t="s">
        <v>63</v>
      </c>
      <c r="O10" s="205" t="s">
        <v>64</v>
      </c>
      <c r="P10" s="205" t="s">
        <v>43</v>
      </c>
      <c r="Q10" s="205" t="s">
        <v>95</v>
      </c>
      <c r="R10" s="205" t="s">
        <v>66</v>
      </c>
      <c r="S10" s="205" t="s">
        <v>67</v>
      </c>
      <c r="T10" s="205" t="s">
        <v>110</v>
      </c>
      <c r="U10" s="205" t="s">
        <v>69</v>
      </c>
      <c r="V10" s="234" t="s">
        <v>70</v>
      </c>
      <c r="W10" s="205" t="s">
        <v>71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03"/>
      <c r="AO10" s="203" t="s">
        <v>298</v>
      </c>
      <c r="AP10" s="203">
        <v>0.05</v>
      </c>
      <c r="AQ10" s="203">
        <v>0.1</v>
      </c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</row>
    <row r="11" ht="18.75" s="383" customFormat="1">
      <c r="A11" s="383" t="s">
        <v>299</v>
      </c>
      <c r="B11" s="383">
        <v>2</v>
      </c>
      <c r="D11" s="383">
        <v>100</v>
      </c>
      <c r="F11" s="384">
        <f t="shared" si="0"/>
        <v>200</v>
      </c>
      <c r="G11" s="385"/>
      <c r="H11" s="385"/>
      <c r="I11" s="385"/>
      <c r="J11" s="385"/>
      <c r="L11" s="205">
        <v>1</v>
      </c>
      <c r="M11" s="218">
        <v>1</v>
      </c>
      <c r="N11" s="219" t="s">
        <v>113</v>
      </c>
      <c r="O11" s="204"/>
      <c r="P11" s="204"/>
      <c r="Q11" s="204"/>
      <c r="R11" s="205" t="s">
        <v>114</v>
      </c>
      <c r="S11" s="205"/>
      <c r="T11" s="226"/>
      <c r="U11" s="408">
        <f>Sheet2!B28</f>
        <v>300</v>
      </c>
      <c r="V11" s="221">
        <f ref="V11:V17" t="shared" si="2">M11*U11</f>
        <v>300</v>
      </c>
      <c r="W11" s="222">
        <f ref="W11:W17" t="shared" si="3" ca="1">(V11)/$R$74</f>
        <v>0.00862172171608635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03"/>
      <c r="AO11" s="203" t="s">
        <v>300</v>
      </c>
      <c r="AP11" s="203">
        <v>0.05</v>
      </c>
      <c r="AQ11" s="203">
        <v>0.15</v>
      </c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</row>
    <row r="12" ht="18.75" s="383" customFormat="1">
      <c r="A12" s="383" t="s">
        <v>301</v>
      </c>
      <c r="B12" s="383">
        <f>IF((تسعير!AT9=wavy1!A20),0,1)</f>
        <v>1</v>
      </c>
      <c r="D12" s="383">
        <v>500</v>
      </c>
      <c r="F12" s="384">
        <f t="shared" si="0"/>
        <v>500</v>
      </c>
      <c r="G12" s="385"/>
      <c r="H12" s="385"/>
      <c r="I12" s="385"/>
      <c r="J12" s="385"/>
      <c r="L12" s="205">
        <v>2</v>
      </c>
      <c r="M12" s="218">
        <v>2</v>
      </c>
      <c r="N12" s="219" t="s">
        <v>119</v>
      </c>
      <c r="O12" s="204"/>
      <c r="P12" s="204"/>
      <c r="Q12" s="204"/>
      <c r="R12" s="205" t="s">
        <v>62</v>
      </c>
      <c r="S12" s="205"/>
      <c r="T12" s="226"/>
      <c r="U12" s="408">
        <v>85</v>
      </c>
      <c r="V12" s="221">
        <f t="shared" si="2"/>
        <v>170</v>
      </c>
      <c r="W12" s="222">
        <f t="shared" si="3" ca="1"/>
        <v>0.0048856423057822658</v>
      </c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03"/>
      <c r="AO12" s="203" t="s">
        <v>302</v>
      </c>
      <c r="AP12" s="203">
        <v>0.1</v>
      </c>
      <c r="AQ12" s="203">
        <v>0.15</v>
      </c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</row>
    <row r="13" ht="18.75" s="383" customFormat="1">
      <c r="A13" s="383" t="s">
        <v>303</v>
      </c>
      <c r="B13" s="383">
        <f>E4*2</f>
        <v>14</v>
      </c>
      <c r="D13" s="383">
        <v>10</v>
      </c>
      <c r="F13" s="384">
        <f t="shared" si="0"/>
        <v>140</v>
      </c>
      <c r="G13" s="385"/>
      <c r="H13" s="385"/>
      <c r="I13" s="385"/>
      <c r="J13" s="385"/>
      <c r="L13" s="205">
        <v>3</v>
      </c>
      <c r="M13" s="201">
        <v>1</v>
      </c>
      <c r="N13" s="219" t="s">
        <v>121</v>
      </c>
      <c r="O13" s="204"/>
      <c r="P13" s="204"/>
      <c r="Q13" s="204"/>
      <c r="R13" s="205" t="s">
        <v>62</v>
      </c>
      <c r="S13" s="205"/>
      <c r="T13" s="226"/>
      <c r="U13" s="408">
        <v>75</v>
      </c>
      <c r="V13" s="221">
        <f t="shared" si="2"/>
        <v>75</v>
      </c>
      <c r="W13" s="222">
        <f t="shared" si="3" ca="1"/>
        <v>0.0021554304290215876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</row>
    <row r="14" ht="18.75" s="383" customFormat="1">
      <c r="A14" s="385" t="s">
        <v>240</v>
      </c>
      <c r="B14" s="385">
        <f>IF((تسعير!AT9=wavy1!A20),1,0)</f>
        <v>0</v>
      </c>
      <c r="C14" s="385"/>
      <c r="D14" s="385">
        <v>7500</v>
      </c>
      <c r="E14" s="385"/>
      <c r="F14" s="384">
        <f t="shared" si="0"/>
        <v>0</v>
      </c>
      <c r="G14" s="385"/>
      <c r="H14" s="385"/>
      <c r="I14" s="385"/>
      <c r="J14" s="385"/>
      <c r="L14" s="205">
        <v>4</v>
      </c>
      <c r="M14" s="218">
        <f>IF((N3="A1"),12,IF((N3="A2"),12,IF((N3="b1"),4,IF((N3="b2"),4,0))))</f>
        <v>4</v>
      </c>
      <c r="N14" s="219" t="s">
        <v>123</v>
      </c>
      <c r="O14" s="204"/>
      <c r="P14" s="204"/>
      <c r="Q14" s="204"/>
      <c r="R14" s="230" t="s">
        <v>124</v>
      </c>
      <c r="S14" s="230"/>
      <c r="T14" s="226"/>
      <c r="U14" s="408">
        <v>30</v>
      </c>
      <c r="V14" s="221">
        <f t="shared" si="2"/>
        <v>120</v>
      </c>
      <c r="W14" s="222">
        <f t="shared" si="3" ca="1"/>
        <v>0.0034486886864345404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</row>
    <row r="15" ht="18.75" s="383" customFormat="1">
      <c r="A15" s="403" t="s">
        <v>88</v>
      </c>
      <c r="B15" s="403"/>
      <c r="C15" s="403"/>
      <c r="D15" s="403"/>
      <c r="E15" s="403">
        <f>Table8[[#Totals],[اجمالي التكلفة]]/B1</f>
        <v>1009.2734905640563</v>
      </c>
      <c r="F15" s="404">
        <f>SUBTOTAL(109,Table8[اجمالي التكلفة])</f>
        <v>13213.635625</v>
      </c>
      <c r="G15" s="403"/>
      <c r="H15" s="403"/>
      <c r="I15" s="403"/>
      <c r="J15" s="403"/>
      <c r="L15" s="205">
        <v>5</v>
      </c>
      <c r="M15" s="218"/>
      <c r="N15" s="219" t="s">
        <v>304</v>
      </c>
      <c r="O15" s="204"/>
      <c r="P15" s="204"/>
      <c r="Q15" s="204"/>
      <c r="R15" s="229" t="s">
        <v>305</v>
      </c>
      <c r="S15" s="228"/>
      <c r="T15" s="229"/>
      <c r="U15" s="235">
        <v>450</v>
      </c>
      <c r="V15" s="221">
        <f t="shared" si="2"/>
        <v>0</v>
      </c>
      <c r="W15" s="222">
        <f t="shared" si="3" ca="1"/>
        <v>0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</row>
    <row r="16" ht="18.75" s="383" customFormat="1">
      <c r="A16" s="405"/>
      <c r="B16" s="405"/>
      <c r="C16" s="405"/>
      <c r="D16" s="405"/>
      <c r="E16" s="405"/>
      <c r="F16" s="406"/>
      <c r="G16" s="405"/>
      <c r="H16" s="405"/>
      <c r="I16" s="405"/>
      <c r="J16" s="405"/>
      <c r="L16" s="205">
        <v>6</v>
      </c>
      <c r="M16" s="218"/>
      <c r="N16" s="219" t="s">
        <v>306</v>
      </c>
      <c r="O16" s="204"/>
      <c r="P16" s="204"/>
      <c r="Q16" s="204"/>
      <c r="R16" s="205" t="s">
        <v>307</v>
      </c>
      <c r="S16" s="205"/>
      <c r="T16" s="226"/>
      <c r="U16" s="220">
        <v>400</v>
      </c>
      <c r="V16" s="221">
        <f t="shared" si="2"/>
        <v>0</v>
      </c>
      <c r="W16" s="222">
        <f t="shared" si="3" ca="1"/>
        <v>0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</row>
    <row r="17" ht="18.75" s="383" customFormat="1">
      <c r="B17" s="385"/>
      <c r="C17" s="385"/>
      <c r="D17" s="385"/>
      <c r="E17" s="385"/>
      <c r="F17" s="386"/>
      <c r="G17" s="385"/>
      <c r="H17" s="385"/>
      <c r="I17" s="385"/>
      <c r="J17" s="385"/>
      <c r="L17" s="205">
        <v>7</v>
      </c>
      <c r="M17" s="218">
        <f>IF((N3="B1"),2,IF((N3="B2"),2,0))</f>
        <v>2</v>
      </c>
      <c r="N17" s="219" t="s">
        <v>130</v>
      </c>
      <c r="O17" s="204"/>
      <c r="P17" s="204"/>
      <c r="Q17" s="204"/>
      <c r="R17" s="205" t="s">
        <v>124</v>
      </c>
      <c r="S17" s="205"/>
      <c r="T17" s="226"/>
      <c r="U17" s="220">
        <f>Sheet2!B30</f>
        <v>400</v>
      </c>
      <c r="V17" s="221">
        <f t="shared" si="2"/>
        <v>800</v>
      </c>
      <c r="W17" s="222">
        <f t="shared" si="3" ca="1"/>
        <v>0.022991257909563603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</row>
    <row r="18" ht="18.75" s="383" customFormat="1">
      <c r="F18" s="384"/>
      <c r="G18" s="385"/>
      <c r="H18" s="385"/>
      <c r="I18" s="385"/>
      <c r="J18" s="385"/>
      <c r="L18" s="266" t="s">
        <v>88</v>
      </c>
      <c r="M18" s="269"/>
      <c r="N18" s="270" t="s">
        <v>88</v>
      </c>
      <c r="O18" s="272"/>
      <c r="P18" s="272"/>
      <c r="Q18" s="271"/>
      <c r="R18" s="266"/>
      <c r="S18" s="266"/>
      <c r="T18" s="266"/>
      <c r="U18" s="273"/>
      <c r="V18" s="267">
        <f>SUBTOTAL(109,Table1561[اجمالي])</f>
        <v>1465</v>
      </c>
      <c r="W18" s="274">
        <f>Table1561[[#Totals],[اجمالي]]/$R$74</f>
        <v>0.042102741046888346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</row>
    <row r="19" ht="18.75">
      <c r="A19" s="387" t="s">
        <v>212</v>
      </c>
      <c r="B19" s="394"/>
      <c r="C19" s="394"/>
      <c r="D19" s="394"/>
      <c r="E19" s="394"/>
      <c r="F19" s="394"/>
      <c r="G19" s="383"/>
      <c r="H19" s="383"/>
      <c r="I19" s="383"/>
      <c r="J19" s="383"/>
      <c r="L19" s="203"/>
      <c r="M19" s="203"/>
      <c r="N19" s="231"/>
      <c r="O19" s="629" t="s">
        <v>132</v>
      </c>
      <c r="P19" s="629"/>
      <c r="Q19" s="629"/>
      <c r="R19" s="629"/>
      <c r="S19" s="629"/>
      <c r="T19" s="629"/>
      <c r="U19" s="203"/>
      <c r="V19" s="203"/>
      <c r="W19" s="203"/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</row>
    <row r="20" ht="18.75">
      <c r="A20" s="384" t="s">
        <v>240</v>
      </c>
      <c r="B20" s="394"/>
      <c r="C20" s="394"/>
      <c r="D20" s="394"/>
      <c r="E20" s="394"/>
      <c r="F20" s="394"/>
      <c r="L20" s="205" t="s">
        <v>61</v>
      </c>
      <c r="M20" s="205" t="s">
        <v>62</v>
      </c>
      <c r="N20" s="233" t="s">
        <v>63</v>
      </c>
      <c r="O20" s="205" t="s">
        <v>64</v>
      </c>
      <c r="P20" s="205" t="s">
        <v>43</v>
      </c>
      <c r="Q20" s="205" t="s">
        <v>95</v>
      </c>
      <c r="R20" s="205" t="s">
        <v>66</v>
      </c>
      <c r="S20" s="205" t="s">
        <v>67</v>
      </c>
      <c r="T20" s="205" t="s">
        <v>110</v>
      </c>
      <c r="U20" s="205" t="s">
        <v>69</v>
      </c>
      <c r="V20" s="234" t="s">
        <v>70</v>
      </c>
      <c r="W20" s="205" t="s">
        <v>71</v>
      </c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</row>
    <row r="21" ht="18.75">
      <c r="A21" s="388"/>
      <c r="L21" s="205">
        <v>3</v>
      </c>
      <c r="M21" s="201">
        <f>IF((N3="A1"),2,IF((N3="A2"),2,0))</f>
        <v>0</v>
      </c>
      <c r="N21" s="206" t="s">
        <v>308</v>
      </c>
      <c r="O21" s="227">
        <v>0.3</v>
      </c>
      <c r="P21" s="227">
        <v>0.3</v>
      </c>
      <c r="Q21" s="227">
        <f>(Table1662[[#This Row],[Column1]]*Table1662[[#This Row],[Column2]])*2*Table1662[[#This Row],[عدد]]</f>
        <v>0</v>
      </c>
      <c r="R21" s="228" t="s">
        <v>117</v>
      </c>
      <c r="S21" s="228">
        <v>7</v>
      </c>
      <c r="T21" s="205"/>
      <c r="U21" s="220">
        <f>S21*$S$2/1000</f>
        <v>322</v>
      </c>
      <c r="V21" s="221">
        <f>M21*U21</f>
        <v>0</v>
      </c>
      <c r="W21" s="222">
        <f ref="W21:W22" t="shared" si="4" ca="1">(V21)/$R$74</f>
        <v>0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</row>
    <row r="22" ht="18.75">
      <c r="L22" s="205">
        <v>8</v>
      </c>
      <c r="M22" s="218">
        <f>M21*4</f>
        <v>0</v>
      </c>
      <c r="N22" s="219" t="s">
        <v>135</v>
      </c>
      <c r="O22" s="204">
        <v>0.1</v>
      </c>
      <c r="P22" s="204">
        <v>0.1</v>
      </c>
      <c r="Q22" s="227">
        <f>(Table1662[[#This Row],[Column1]]*Table1662[[#This Row],[Column2]])*Table1662[[#This Row],[عدد]]</f>
        <v>0</v>
      </c>
      <c r="R22" s="205" t="s">
        <v>117</v>
      </c>
      <c r="S22" s="205">
        <v>0.75</v>
      </c>
      <c r="T22" s="205"/>
      <c r="U22" s="220">
        <f>S22*$S$2/1000</f>
        <v>34.5</v>
      </c>
      <c r="V22" s="221">
        <f>M22*U22</f>
        <v>0</v>
      </c>
      <c r="W22" s="253">
        <f t="shared" si="4" ca="1"/>
        <v>0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</row>
    <row r="23" ht="18.75">
      <c r="L23" s="205" t="s">
        <v>88</v>
      </c>
      <c r="M23" s="218">
        <f>SUBTOTAL(103,Table1662[عدد])</f>
        <v>2</v>
      </c>
      <c r="N23" s="219" t="s">
        <v>88</v>
      </c>
      <c r="O23" s="204"/>
      <c r="P23" s="204"/>
      <c r="Q23" s="203">
        <f>SUBTOTAL(109,Table1662[Column12])</f>
        <v>0</v>
      </c>
      <c r="R23" s="205"/>
      <c r="S23" s="205">
        <f>(S21*M21)+(M22*S22)</f>
        <v>0</v>
      </c>
      <c r="T23" s="205"/>
      <c r="U23" s="226"/>
      <c r="V23" s="221">
        <f>SUBTOTAL(109,Table1662[اجمالي])</f>
        <v>0</v>
      </c>
      <c r="W23" s="243">
        <f>Table1662[[#Totals],[اجمالي]]/$R$74</f>
        <v>0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</row>
    <row r="24" ht="18.75">
      <c r="L24" s="203"/>
      <c r="M24" s="203"/>
      <c r="N24" s="231"/>
      <c r="O24" s="629" t="s">
        <v>136</v>
      </c>
      <c r="P24" s="629"/>
      <c r="Q24" s="629"/>
      <c r="R24" s="629"/>
      <c r="S24" s="629"/>
      <c r="T24" s="629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</row>
    <row r="25" ht="18.75">
      <c r="L25" s="205" t="s">
        <v>61</v>
      </c>
      <c r="M25" s="205" t="s">
        <v>62</v>
      </c>
      <c r="N25" s="233" t="s">
        <v>63</v>
      </c>
      <c r="O25" s="205" t="s">
        <v>64</v>
      </c>
      <c r="P25" s="205" t="s">
        <v>43</v>
      </c>
      <c r="Q25" s="205" t="s">
        <v>95</v>
      </c>
      <c r="R25" s="205" t="s">
        <v>66</v>
      </c>
      <c r="S25" s="205" t="s">
        <v>67</v>
      </c>
      <c r="T25" s="205" t="s">
        <v>110</v>
      </c>
      <c r="U25" s="205" t="s">
        <v>69</v>
      </c>
      <c r="V25" s="234" t="s">
        <v>70</v>
      </c>
      <c r="W25" s="205" t="s">
        <v>71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</row>
    <row r="26" ht="18.75">
      <c r="L26" s="205">
        <v>3</v>
      </c>
      <c r="M26" s="255">
        <f>AM7/3</f>
        <v>0.71333333333333337</v>
      </c>
      <c r="N26" s="219" t="s">
        <v>144</v>
      </c>
      <c r="O26" s="204"/>
      <c r="P26" s="204"/>
      <c r="Q26" s="204"/>
      <c r="R26" s="205" t="s">
        <v>145</v>
      </c>
      <c r="S26" s="205"/>
      <c r="T26" s="205"/>
      <c r="U26" s="235">
        <f>Sheet2!B24</f>
        <v>200</v>
      </c>
      <c r="V26" s="221">
        <f ref="V26:V31" t="shared" si="5">M26*U26</f>
        <v>142.66666666666669</v>
      </c>
      <c r="W26" s="222">
        <f ref="W26:W47" t="shared" si="6" ca="1">(V26)/$R$74</f>
        <v>0.0041001076605388428</v>
      </c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</row>
    <row r="27" ht="18.75">
      <c r="L27" s="205">
        <v>4</v>
      </c>
      <c r="M27" s="201">
        <v>3</v>
      </c>
      <c r="N27" s="233" t="s">
        <v>137</v>
      </c>
      <c r="O27" s="205"/>
      <c r="P27" s="205"/>
      <c r="Q27" s="205"/>
      <c r="R27" s="205" t="s">
        <v>138</v>
      </c>
      <c r="S27" s="205"/>
      <c r="T27" s="205"/>
      <c r="U27" s="235">
        <v>15</v>
      </c>
      <c r="V27" s="221">
        <f t="shared" si="5"/>
        <v>45</v>
      </c>
      <c r="W27" s="222">
        <f t="shared" si="6" ca="1"/>
        <v>0.0012932582574129528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</row>
    <row r="28" ht="18.75">
      <c r="L28" s="205">
        <v>5</v>
      </c>
      <c r="M28" s="218">
        <v>3</v>
      </c>
      <c r="N28" s="233" t="s">
        <v>139</v>
      </c>
      <c r="O28" s="205"/>
      <c r="P28" s="205"/>
      <c r="Q28" s="205"/>
      <c r="R28" s="205" t="s">
        <v>138</v>
      </c>
      <c r="S28" s="205"/>
      <c r="T28" s="205"/>
      <c r="U28" s="235">
        <v>15</v>
      </c>
      <c r="V28" s="221">
        <f t="shared" si="5"/>
        <v>45</v>
      </c>
      <c r="W28" s="222">
        <f t="shared" si="6" ca="1"/>
        <v>0.0012932582574129528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</row>
    <row r="29" ht="18.75">
      <c r="L29" s="205">
        <v>6</v>
      </c>
      <c r="M29" s="201">
        <v>1</v>
      </c>
      <c r="N29" s="219" t="s">
        <v>140</v>
      </c>
      <c r="O29" s="204"/>
      <c r="P29" s="204"/>
      <c r="Q29" s="204"/>
      <c r="R29" s="205" t="s">
        <v>141</v>
      </c>
      <c r="S29" s="205"/>
      <c r="T29" s="205"/>
      <c r="U29" s="235">
        <v>25</v>
      </c>
      <c r="V29" s="221">
        <f t="shared" si="5"/>
        <v>25</v>
      </c>
      <c r="W29" s="222">
        <f t="shared" si="6" ca="1"/>
        <v>0.00071847680967386258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</row>
    <row r="30" ht="18.75">
      <c r="L30" s="205">
        <v>7</v>
      </c>
      <c r="M30" s="218">
        <v>1</v>
      </c>
      <c r="N30" s="219" t="s">
        <v>142</v>
      </c>
      <c r="O30" s="204"/>
      <c r="P30" s="204"/>
      <c r="Q30" s="204"/>
      <c r="R30" s="205" t="s">
        <v>141</v>
      </c>
      <c r="S30" s="205"/>
      <c r="T30" s="205"/>
      <c r="U30" s="235">
        <v>150</v>
      </c>
      <c r="V30" s="221">
        <f t="shared" si="5"/>
        <v>150</v>
      </c>
      <c r="W30" s="222">
        <f t="shared" si="6" ca="1"/>
        <v>0.0043108608580431753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</row>
    <row r="31" ht="18.75">
      <c r="L31" s="205">
        <v>8</v>
      </c>
      <c r="M31" s="201">
        <v>2</v>
      </c>
      <c r="N31" s="219" t="s">
        <v>143</v>
      </c>
      <c r="O31" s="204"/>
      <c r="P31" s="204"/>
      <c r="Q31" s="204"/>
      <c r="R31" s="205" t="s">
        <v>117</v>
      </c>
      <c r="S31" s="205"/>
      <c r="T31" s="205"/>
      <c r="U31" s="235">
        <v>40</v>
      </c>
      <c r="V31" s="221">
        <f t="shared" si="5"/>
        <v>80</v>
      </c>
      <c r="W31" s="222">
        <f t="shared" si="6" ca="1"/>
        <v>0.0022991257909563603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</row>
    <row r="32" ht="18.75">
      <c r="L32" s="205">
        <v>2</v>
      </c>
      <c r="M32" s="255">
        <f>AM6/1.9</f>
        <v>2.4421052631578952</v>
      </c>
      <c r="N32" s="219" t="s">
        <v>79</v>
      </c>
      <c r="O32" s="204"/>
      <c r="P32" s="204"/>
      <c r="Q32" s="204"/>
      <c r="R32" s="205" t="s">
        <v>146</v>
      </c>
      <c r="S32" s="205"/>
      <c r="T32" s="205"/>
      <c r="U32" s="235">
        <f>Sheet2!B25</f>
        <v>80</v>
      </c>
      <c r="V32" s="221">
        <f>M32*U32</f>
        <v>195.36842105263162</v>
      </c>
      <c r="W32" s="222">
        <f t="shared" si="6" ca="1"/>
        <v>0.0056147071947565859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</row>
    <row r="33" ht="18.75">
      <c r="L33" s="205">
        <v>1</v>
      </c>
      <c r="M33" s="255">
        <f>AM5</f>
        <v>2.5600000000000005</v>
      </c>
      <c r="N33" s="219" t="s">
        <v>147</v>
      </c>
      <c r="O33" s="204"/>
      <c r="P33" s="204"/>
      <c r="Q33" s="204"/>
      <c r="R33" s="205" t="s">
        <v>117</v>
      </c>
      <c r="S33" s="205"/>
      <c r="T33" s="205"/>
      <c r="U33" s="235">
        <f>Sheet2!B26</f>
        <v>130</v>
      </c>
      <c r="V33" s="221">
        <f>M33*U33</f>
        <v>332.80000000000007</v>
      </c>
      <c r="W33" s="222">
        <f t="shared" si="6" ca="1"/>
        <v>0.00956436329037846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</row>
    <row r="34" ht="18.75">
      <c r="L34" s="205">
        <v>9</v>
      </c>
      <c r="M34" s="255">
        <f>AM8</f>
        <v>2.5600000000000005</v>
      </c>
      <c r="N34" s="219" t="s">
        <v>148</v>
      </c>
      <c r="O34" s="204"/>
      <c r="P34" s="204"/>
      <c r="Q34" s="204"/>
      <c r="R34" s="205" t="s">
        <v>117</v>
      </c>
      <c r="S34" s="205"/>
      <c r="T34" s="205"/>
      <c r="U34" s="235">
        <f>Sheet2!B27</f>
        <v>400</v>
      </c>
      <c r="V34" s="221">
        <f>M34*U34</f>
        <v>1024.0000000000002</v>
      </c>
      <c r="W34" s="222">
        <f t="shared" si="6" ca="1"/>
        <v>0.029428810124241419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</row>
    <row r="35" ht="18.75">
      <c r="L35" s="205"/>
      <c r="M35" s="218"/>
      <c r="N35" s="219"/>
      <c r="O35" s="204"/>
      <c r="P35" s="204"/>
      <c r="Q35" s="204"/>
      <c r="R35" s="205"/>
      <c r="S35" s="205"/>
      <c r="T35" s="205"/>
      <c r="U35" s="235"/>
      <c r="V35" s="221">
        <f ref="V35:V47" t="shared" si="7">M35*U35</f>
        <v>0</v>
      </c>
      <c r="W35" s="253">
        <f t="shared" si="6" ca="1"/>
        <v>0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</row>
    <row r="36" ht="18.75">
      <c r="L36" s="205"/>
      <c r="M36" s="218"/>
      <c r="N36" s="219"/>
      <c r="O36" s="204"/>
      <c r="P36" s="204"/>
      <c r="Q36" s="204"/>
      <c r="R36" s="205"/>
      <c r="S36" s="205"/>
      <c r="T36" s="205"/>
      <c r="U36" s="235"/>
      <c r="V36" s="221">
        <f t="shared" si="7"/>
        <v>0</v>
      </c>
      <c r="W36" s="253">
        <f t="shared" si="6" ca="1"/>
        <v>0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</row>
    <row r="37" ht="18.75">
      <c r="L37" s="205"/>
      <c r="M37" s="218"/>
      <c r="N37" s="219"/>
      <c r="O37" s="204"/>
      <c r="P37" s="204"/>
      <c r="Q37" s="204"/>
      <c r="R37" s="205"/>
      <c r="S37" s="205"/>
      <c r="T37" s="205"/>
      <c r="U37" s="235"/>
      <c r="V37" s="221">
        <f t="shared" si="7"/>
        <v>0</v>
      </c>
      <c r="W37" s="253">
        <f t="shared" si="6" ca="1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</row>
    <row r="38" ht="18.75">
      <c r="L38" s="205"/>
      <c r="M38" s="218"/>
      <c r="N38" s="219"/>
      <c r="O38" s="204"/>
      <c r="P38" s="204"/>
      <c r="Q38" s="204"/>
      <c r="R38" s="205"/>
      <c r="S38" s="205"/>
      <c r="T38" s="205"/>
      <c r="U38" s="235"/>
      <c r="V38" s="221">
        <f t="shared" si="7"/>
        <v>0</v>
      </c>
      <c r="W38" s="253">
        <f t="shared" si="6" ca="1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</row>
    <row r="39" ht="18.75">
      <c r="L39" s="205"/>
      <c r="M39" s="218"/>
      <c r="N39" s="219"/>
      <c r="O39" s="204"/>
      <c r="P39" s="204"/>
      <c r="Q39" s="204"/>
      <c r="R39" s="205"/>
      <c r="S39" s="205"/>
      <c r="T39" s="205"/>
      <c r="U39" s="235"/>
      <c r="V39" s="221">
        <f t="shared" si="7"/>
        <v>0</v>
      </c>
      <c r="W39" s="253">
        <f t="shared" si="6" ca="1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</row>
    <row r="40" ht="18.75">
      <c r="L40" s="205"/>
      <c r="M40" s="218">
        <f>IF((تسعير!AT5="B"),(Table158[[#Totals],[الوزن]]+Table1662[[#Totals],[الوزن]]),0)</f>
        <v>0</v>
      </c>
      <c r="N40" s="219" t="s">
        <v>149</v>
      </c>
      <c r="O40" s="204"/>
      <c r="P40" s="204"/>
      <c r="Q40" s="204"/>
      <c r="R40" s="205"/>
      <c r="S40" s="205"/>
      <c r="T40" s="205"/>
      <c r="U40" s="235">
        <v>20</v>
      </c>
      <c r="V40" s="221">
        <f t="shared" si="7"/>
        <v>0</v>
      </c>
      <c r="W40" s="253">
        <f t="shared" si="6" ca="1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</row>
    <row r="41" ht="18.75">
      <c r="L41" s="205"/>
      <c r="M41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9" t="s">
        <v>94</v>
      </c>
      <c r="O41" s="204"/>
      <c r="P41" s="204"/>
      <c r="Q41" s="204"/>
      <c r="R41" s="205" t="s">
        <v>150</v>
      </c>
      <c r="S41" s="205"/>
      <c r="T41" s="205"/>
      <c r="U41" s="235">
        <f>Sheet2!B18</f>
        <v>300</v>
      </c>
      <c r="V41" s="221">
        <f t="shared" si="7"/>
        <v>0</v>
      </c>
      <c r="W41" s="253">
        <f t="shared" si="6" ca="1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</row>
    <row r="42" ht="18.75">
      <c r="L42" s="205"/>
      <c r="M42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33" t="s">
        <v>97</v>
      </c>
      <c r="O42" s="204"/>
      <c r="P42" s="204"/>
      <c r="Q42" s="204"/>
      <c r="R42" s="233" t="s">
        <v>151</v>
      </c>
      <c r="S42" s="205"/>
      <c r="T42" s="205"/>
      <c r="U42" s="235">
        <f>Sheet2!B19</f>
        <v>250</v>
      </c>
      <c r="V42" s="221">
        <f t="shared" si="7"/>
        <v>0</v>
      </c>
      <c r="W42" s="253">
        <f t="shared" si="6" ca="1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</row>
    <row r="43" ht="18.75">
      <c r="L43" s="205"/>
      <c r="M43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33" t="s">
        <v>101</v>
      </c>
      <c r="O43" s="204"/>
      <c r="P43" s="204"/>
      <c r="Q43" s="204"/>
      <c r="R43" s="233" t="s">
        <v>152</v>
      </c>
      <c r="S43" s="205"/>
      <c r="T43" s="205"/>
      <c r="U43" s="235">
        <f>Sheet2!B20</f>
        <v>375</v>
      </c>
      <c r="V43" s="221">
        <f t="shared" si="7"/>
        <v>0</v>
      </c>
      <c r="W43" s="253">
        <f t="shared" si="6" ca="1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</row>
    <row r="44" ht="18.75">
      <c r="L44" s="205"/>
      <c r="M44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33" t="s">
        <v>104</v>
      </c>
      <c r="O44" s="204"/>
      <c r="P44" s="204"/>
      <c r="Q44" s="204"/>
      <c r="R44" s="233" t="s">
        <v>152</v>
      </c>
      <c r="S44" s="205"/>
      <c r="T44" s="205"/>
      <c r="U44" s="235">
        <f>Sheet2!B21</f>
        <v>455</v>
      </c>
      <c r="V44" s="221">
        <f t="shared" si="7"/>
        <v>0</v>
      </c>
      <c r="W44" s="253">
        <f t="shared" si="6" ca="1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</row>
    <row r="45" ht="18.75">
      <c r="L45" s="205"/>
      <c r="M45" s="218"/>
      <c r="N45" s="233" t="s">
        <v>106</v>
      </c>
      <c r="O45" s="204"/>
      <c r="P45" s="204"/>
      <c r="Q45" s="204"/>
      <c r="R45" s="233" t="s">
        <v>309</v>
      </c>
      <c r="S45" s="205"/>
      <c r="T45" s="205"/>
      <c r="U45" s="436"/>
      <c r="V45" s="221">
        <f t="shared" si="7"/>
        <v>0</v>
      </c>
      <c r="W45" s="253">
        <f t="shared" si="6" ca="1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</row>
    <row r="46" ht="18.75">
      <c r="L46" s="205"/>
      <c r="M46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6" s="233" t="s">
        <v>109</v>
      </c>
      <c r="O46" s="204"/>
      <c r="P46" s="204"/>
      <c r="Q46" s="204"/>
      <c r="R46" s="233" t="s">
        <v>153</v>
      </c>
      <c r="S46" s="205"/>
      <c r="T46" s="205"/>
      <c r="U46" s="437">
        <f>Sheet2!B22</f>
        <v>135</v>
      </c>
      <c r="V46" s="221">
        <f t="shared" si="7"/>
        <v>0</v>
      </c>
      <c r="W46" s="253">
        <f t="shared" si="6" ca="1"/>
        <v>0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</row>
    <row r="47" ht="18.75">
      <c r="L47" s="205"/>
      <c r="M47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7" s="233" t="s">
        <v>112</v>
      </c>
      <c r="O47" s="204"/>
      <c r="P47" s="204"/>
      <c r="Q47" s="204"/>
      <c r="R47" s="233" t="s">
        <v>153</v>
      </c>
      <c r="S47" s="205"/>
      <c r="T47" s="205"/>
      <c r="U47" s="235">
        <f>Sheet2!B23</f>
        <v>130</v>
      </c>
      <c r="V47" s="221">
        <f t="shared" si="7"/>
        <v>0</v>
      </c>
      <c r="W47" s="253">
        <f t="shared" si="6" ca="1"/>
        <v>0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</row>
    <row r="48" ht="18.75">
      <c r="L48" s="427" t="s">
        <v>88</v>
      </c>
      <c r="M48" s="428"/>
      <c r="N48" s="429" t="s">
        <v>88</v>
      </c>
      <c r="O48" s="430"/>
      <c r="P48" s="430"/>
      <c r="Q48" s="430"/>
      <c r="R48" s="427" t="s">
        <v>154</v>
      </c>
      <c r="S48" s="427"/>
      <c r="T48" s="427"/>
      <c r="U48" s="431"/>
      <c r="V48" s="432">
        <f>SUBTOTAL(109,Table1359[اجمالي])</f>
        <v>2039.8350877192986</v>
      </c>
      <c r="W48" s="433">
        <f>Table1359[[#Totals],[اجمالي]]/$R$74</f>
        <v>0.058622968243414612</v>
      </c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</row>
    <row r="49" ht="18.75">
      <c r="L49" s="205"/>
      <c r="M49" s="218"/>
      <c r="N49" s="219"/>
      <c r="O49" s="204"/>
      <c r="P49" s="204"/>
      <c r="Q49" s="204"/>
      <c r="R49" s="205"/>
      <c r="S49" s="205"/>
      <c r="T49" s="205"/>
      <c r="U49" s="226"/>
      <c r="V49" s="221"/>
      <c r="W49" s="24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</row>
    <row r="50" ht="18.75">
      <c r="L50" s="203"/>
      <c r="M50" s="203"/>
      <c r="N50" s="231"/>
      <c r="O50" s="629" t="s">
        <v>310</v>
      </c>
      <c r="P50" s="629"/>
      <c r="Q50" s="629"/>
      <c r="R50" s="629"/>
      <c r="S50" s="629"/>
      <c r="T50" s="629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</row>
    <row r="51" ht="18.75">
      <c r="L51" s="205" t="s">
        <v>61</v>
      </c>
      <c r="M51" s="205" t="s">
        <v>62</v>
      </c>
      <c r="N51" s="233" t="s">
        <v>63</v>
      </c>
      <c r="O51" s="205" t="s">
        <v>64</v>
      </c>
      <c r="P51" s="205" t="s">
        <v>43</v>
      </c>
      <c r="Q51" s="205" t="s">
        <v>95</v>
      </c>
      <c r="R51" s="205" t="s">
        <v>66</v>
      </c>
      <c r="S51" s="205" t="s">
        <v>67</v>
      </c>
      <c r="T51" s="205" t="s">
        <v>110</v>
      </c>
      <c r="U51" s="205" t="s">
        <v>69</v>
      </c>
      <c r="V51" s="234" t="s">
        <v>70</v>
      </c>
      <c r="W51" s="205" t="s">
        <v>71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</row>
    <row r="52" ht="18.75">
      <c r="L52" s="205">
        <v>1</v>
      </c>
      <c r="M52" s="201">
        <v>0</v>
      </c>
      <c r="N52" s="204" t="s">
        <v>311</v>
      </c>
      <c r="O52" s="204"/>
      <c r="P52" s="205"/>
      <c r="Q52" s="203"/>
      <c r="R52" s="230" t="s">
        <v>312</v>
      </c>
      <c r="S52" s="205"/>
      <c r="T52" s="230"/>
      <c r="U52" s="230">
        <v>400</v>
      </c>
      <c r="V52" s="221">
        <f>M52*Table161368[[#This Row],[سعر الشبك ]]</f>
        <v>0</v>
      </c>
      <c r="W52" s="222">
        <f ref="W52:W54" t="shared" si="8" ca="1">(V52)/$R$74</f>
        <v>0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</row>
    <row r="53" ht="18.75">
      <c r="L53" s="205">
        <v>5</v>
      </c>
      <c r="M53" s="201">
        <v>1</v>
      </c>
      <c r="N53" s="219" t="s">
        <v>313</v>
      </c>
      <c r="O53" s="204"/>
      <c r="P53" s="205"/>
      <c r="Q53" s="203"/>
      <c r="R53" s="204"/>
      <c r="S53" s="205"/>
      <c r="T53" s="230"/>
      <c r="U53" s="235">
        <f>Table8[[#Totals],[اجمالي التكلفة]]</f>
        <v>13213.635625</v>
      </c>
      <c r="V53" s="221">
        <f>M53*Table161368[[#This Row],[سعر الشبك ]]</f>
        <v>13213.635625</v>
      </c>
      <c r="W53" s="222">
        <f t="shared" si="8" ca="1"/>
        <v>0.37974763072171586</v>
      </c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</row>
    <row r="54" ht="18.75">
      <c r="L54" s="205">
        <v>4</v>
      </c>
      <c r="M54" s="218">
        <f>IF((Q70="الاسكندرية"),0.25,0.1)</f>
        <v>0.1</v>
      </c>
      <c r="N54" s="219" t="s">
        <v>165</v>
      </c>
      <c r="O54" s="204"/>
      <c r="P54" s="205"/>
      <c r="Q54" s="203"/>
      <c r="R54" s="204"/>
      <c r="S54" s="205"/>
      <c r="T54" s="230"/>
      <c r="U54" s="235">
        <f>V53</f>
        <v>13213.635625</v>
      </c>
      <c r="V54" s="221">
        <f>M54*Table161368[[#This Row],[سعر الشبك ]]</f>
        <v>1321.3635625000002</v>
      </c>
      <c r="W54" s="222">
        <f t="shared" si="8" ca="1"/>
        <v>0.037974763072171583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</row>
    <row r="55" ht="18.75">
      <c r="L55" s="205" t="s">
        <v>88</v>
      </c>
      <c r="M55" s="218"/>
      <c r="N55" s="219" t="s">
        <v>88</v>
      </c>
      <c r="O55" s="204"/>
      <c r="P55" s="204"/>
      <c r="Q55" s="203">
        <f>SUBTOTAL(109,Table161368[Column12])</f>
        <v>0</v>
      </c>
      <c r="R55" s="205"/>
      <c r="S55" s="205"/>
      <c r="T55" s="205"/>
      <c r="U55" s="226"/>
      <c r="V55" s="221">
        <f>SUBTOTAL(109,Table161368[اجمالي])</f>
        <v>14534.999187500001</v>
      </c>
      <c r="W55" s="243">
        <f>Table161368[[#Totals],[اجمالي]]/$R$74</f>
        <v>0.41772239379388743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03"/>
      <c r="AP55" s="20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</row>
    <row r="56" ht="18.75">
      <c r="L56" s="203"/>
      <c r="M56" s="203"/>
      <c r="N56" s="231"/>
      <c r="O56" s="629" t="s">
        <v>166</v>
      </c>
      <c r="P56" s="629"/>
      <c r="Q56" s="629"/>
      <c r="R56" s="629"/>
      <c r="S56" s="629"/>
      <c r="T56" s="629"/>
      <c r="U56" s="203"/>
      <c r="V56" s="203"/>
      <c r="W56" s="20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223"/>
      <c r="AU56" s="223"/>
      <c r="AV56" s="223"/>
      <c r="AW56" s="223"/>
      <c r="AX56" s="223"/>
      <c r="AY56" s="223"/>
      <c r="AZ56" s="223"/>
      <c r="BA56" s="223"/>
      <c r="BB56" s="223"/>
    </row>
    <row r="57" ht="18.75">
      <c r="L57" s="205" t="s">
        <v>61</v>
      </c>
      <c r="M57" s="205" t="s">
        <v>62</v>
      </c>
      <c r="N57" s="233" t="s">
        <v>63</v>
      </c>
      <c r="O57" s="205" t="s">
        <v>167</v>
      </c>
      <c r="P57" s="205" t="s">
        <v>46</v>
      </c>
      <c r="Q57" s="205" t="s">
        <v>168</v>
      </c>
      <c r="R57" s="205" t="s">
        <v>169</v>
      </c>
      <c r="S57" s="205" t="s">
        <v>95</v>
      </c>
      <c r="T57" s="205" t="s">
        <v>170</v>
      </c>
      <c r="U57" s="205" t="s">
        <v>171</v>
      </c>
      <c r="V57" s="234" t="s">
        <v>70</v>
      </c>
      <c r="W57" s="205" t="s">
        <v>71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23"/>
      <c r="AP57" s="22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</row>
    <row r="58" ht="18.75">
      <c r="L58" s="205">
        <v>1</v>
      </c>
      <c r="M58" s="201">
        <v>2</v>
      </c>
      <c r="N58" s="206" t="s">
        <v>172</v>
      </c>
      <c r="O58" s="205">
        <f>IF((Table161267[[#This Row],[موقع العمل]]="المصنع"),150,IF((Table161267[[#This Row],[موقع العمل]]="الاسكندرية"),160,200))</f>
        <v>150</v>
      </c>
      <c r="P58" s="205">
        <f>SUMIF(Table1769[Column1],Table161267[[#This Row],[موقع العمل]],$AB$2:$AB$20)</f>
        <v>0</v>
      </c>
      <c r="Q58" s="205" t="s">
        <v>173</v>
      </c>
      <c r="R58" s="204" t="s">
        <v>73</v>
      </c>
      <c r="S58" s="203"/>
      <c r="T58" s="220">
        <f>IF((تسعير!$AU$14="بالتات"),2,1)</f>
        <v>1</v>
      </c>
      <c r="U58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58" s="221">
        <f ref="V58:V70" t="shared" si="9" ca="1">M58*U58</f>
        <v>300</v>
      </c>
      <c r="W58" s="222">
        <f ref="W58:W70" t="shared" si="10" ca="1">(V58)/$R$74</f>
        <v>0.00862172171608635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</row>
    <row r="59" ht="18.75">
      <c r="L59" s="205">
        <v>2</v>
      </c>
      <c r="M59" s="201">
        <v>2</v>
      </c>
      <c r="N59" s="206" t="s">
        <v>174</v>
      </c>
      <c r="O59" s="205">
        <f>IF((Table161267[[#This Row],[موقع العمل]]="المصنع"),150,IF((Table161267[[#This Row],[موقع العمل]]="الاسكندرية"),160,200))</f>
        <v>150</v>
      </c>
      <c r="P59" s="205">
        <f>SUMIF(Table1769[Column1],Table161267[[#This Row],[موقع العمل]],$AB$2:$AB$20)</f>
        <v>0</v>
      </c>
      <c r="Q59" s="205" t="s">
        <v>173</v>
      </c>
      <c r="R59" s="204" t="s">
        <v>73</v>
      </c>
      <c r="S59" s="203"/>
      <c r="T59" s="220">
        <f>IF((تسعير!$AU$14="بالتات"),2,1)</f>
        <v>1</v>
      </c>
      <c r="U59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59" s="221">
        <f t="shared" si="9" ca="1"/>
        <v>300</v>
      </c>
      <c r="W59" s="222">
        <f t="shared" si="10" ca="1"/>
        <v>0.00862172171608635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3"/>
      <c r="AZ59" s="203"/>
      <c r="BA59" s="203"/>
      <c r="BB59" s="203"/>
    </row>
    <row r="60" ht="18.75">
      <c r="L60" s="205">
        <v>3</v>
      </c>
      <c r="M60" s="201">
        <v>3</v>
      </c>
      <c r="N60" s="206" t="s">
        <v>175</v>
      </c>
      <c r="O60" s="205">
        <f>IF((Table161267[[#This Row],[موقع العمل]]="المصنع"),150,IF((Table161267[[#This Row],[موقع العمل]]="الاسكندرية"),160,200))</f>
        <v>150</v>
      </c>
      <c r="P60" s="205">
        <f>SUMIF(Table1769[Column1],Table161267[[#This Row],[موقع العمل]],$AB$2:$AB$20)</f>
        <v>0</v>
      </c>
      <c r="Q60" s="205" t="s">
        <v>173</v>
      </c>
      <c r="R60" s="204" t="s">
        <v>73</v>
      </c>
      <c r="S60" s="203"/>
      <c r="T60" s="220">
        <v>1</v>
      </c>
      <c r="U60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60" s="221">
        <f t="shared" si="9" ca="1"/>
        <v>450</v>
      </c>
      <c r="W60" s="222">
        <f t="shared" si="10" ca="1"/>
        <v>0.012932582574129527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</row>
    <row r="61" ht="18.75">
      <c r="L61" s="205">
        <v>4</v>
      </c>
      <c r="M61" s="218">
        <v>3</v>
      </c>
      <c r="N61" s="206" t="s">
        <v>176</v>
      </c>
      <c r="O61" s="205">
        <f>IF((Table161267[[#This Row],[موقع العمل]]="المصنع"),150,IF((Table161267[[#This Row],[موقع العمل]]="الاسكندرية"),160,200))</f>
        <v>150</v>
      </c>
      <c r="P61" s="205">
        <f>SUMIF(Table1769[Column1],Table161267[[#This Row],[موقع العمل]],$AB$2:$AB$20)</f>
        <v>0</v>
      </c>
      <c r="Q61" s="205" t="s">
        <v>173</v>
      </c>
      <c r="R61" s="204" t="s">
        <v>73</v>
      </c>
      <c r="S61" s="203"/>
      <c r="T61" s="220">
        <v>1</v>
      </c>
      <c r="U61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150</v>
      </c>
      <c r="V61" s="221">
        <f t="shared" si="9" ca="1"/>
        <v>450</v>
      </c>
      <c r="W61" s="222">
        <f t="shared" si="10" ca="1"/>
        <v>0.012932582574129527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</row>
    <row r="62" ht="18.75">
      <c r="L62" s="205">
        <v>5</v>
      </c>
      <c r="M62" s="218">
        <v>4</v>
      </c>
      <c r="N62" s="206" t="s">
        <v>177</v>
      </c>
      <c r="O62" s="205">
        <f>IF((Table161267[[#This Row],[موقع العمل]]="المصنع"),150,IF((Table161267[[#This Row],[موقع العمل]]="الاسكندرية"),160,200))</f>
        <v>200</v>
      </c>
      <c r="P62" s="205">
        <f>SUMIF(Table1769[Column1],Table161267[[#This Row],[موقع العمل]],$AB$2:$AB$20)</f>
        <v>75</v>
      </c>
      <c r="Q62" s="205" t="str">
        <f>تسعير!$AT$4</f>
        <v>كفر الشيخ</v>
      </c>
      <c r="R62" s="204" t="s">
        <v>73</v>
      </c>
      <c r="S62" s="203"/>
      <c r="T62" s="220">
        <f>IF((تسعير!$AU$14="بالتات"),1,2)</f>
        <v>2</v>
      </c>
      <c r="U62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550</v>
      </c>
      <c r="V62" s="221">
        <f t="shared" si="9" ca="1"/>
        <v>2200</v>
      </c>
      <c r="W62" s="222">
        <f t="shared" si="10" ca="1"/>
        <v>0.06322595925129991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</row>
    <row r="63" ht="18.75">
      <c r="L63" s="205">
        <v>6</v>
      </c>
      <c r="M63" s="218">
        <v>3</v>
      </c>
      <c r="N63" s="206" t="s">
        <v>178</v>
      </c>
      <c r="O63" s="205">
        <f>IF((Table161267[[#This Row],[موقع العمل]]="المصنع"),150,IF((Table161267[[#This Row],[موقع العمل]]="الاسكندرية"),160,200))</f>
        <v>200</v>
      </c>
      <c r="P63" s="205">
        <f>SUMIF(Table1769[Column1],Table161267[[#This Row],[موقع العمل]],$AB$2:$AB$20)</f>
        <v>75</v>
      </c>
      <c r="Q63" s="205" t="str">
        <f>تسعير!$AT$4</f>
        <v>كفر الشيخ</v>
      </c>
      <c r="R63" s="204" t="s">
        <v>73</v>
      </c>
      <c r="S63" s="203"/>
      <c r="T63" s="220">
        <f>IF((تسعير!$AU$14="بالتات"),0,2)</f>
        <v>2</v>
      </c>
      <c r="U63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550</v>
      </c>
      <c r="V63" s="221">
        <f t="shared" si="9" ca="1"/>
        <v>1650</v>
      </c>
      <c r="W63" s="222">
        <f t="shared" si="10" ca="1"/>
        <v>0.047419469438474929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</row>
    <row r="64" ht="18.75">
      <c r="L64" s="205">
        <v>7</v>
      </c>
      <c r="M64" s="218">
        <v>0</v>
      </c>
      <c r="N64" s="206" t="s">
        <v>179</v>
      </c>
      <c r="O64" s="205">
        <f>IF((Table161267[[#This Row],[موقع العمل]]="المصنع"),150,IF((Table161267[[#This Row],[موقع العمل]]="الاسكندرية"),160,200))</f>
        <v>200</v>
      </c>
      <c r="P64" s="205">
        <f>SUMIF(Table1769[Column1],Table161267[[#This Row],[موقع العمل]],$AB$2:$AB$20)</f>
        <v>75</v>
      </c>
      <c r="Q64" s="205" t="str">
        <f>تسعير!$AT$4</f>
        <v>كفر الشيخ</v>
      </c>
      <c r="R64" s="204" t="s">
        <v>73</v>
      </c>
      <c r="S64" s="203"/>
      <c r="T64" s="220"/>
      <c r="U64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4" s="221">
        <f t="shared" si="9"/>
        <v>0</v>
      </c>
      <c r="W64" s="222">
        <f t="shared" si="10" ca="1"/>
        <v>0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203"/>
      <c r="AV64" s="203"/>
      <c r="AW64" s="203"/>
      <c r="AX64" s="203"/>
      <c r="AY64" s="203"/>
      <c r="AZ64" s="203"/>
      <c r="BA64" s="203"/>
      <c r="BB64" s="203"/>
    </row>
    <row r="65" ht="18.75">
      <c r="L65" s="205">
        <v>8</v>
      </c>
      <c r="M65" s="218">
        <v>4</v>
      </c>
      <c r="N65" s="206" t="s">
        <v>180</v>
      </c>
      <c r="O65" s="205">
        <f>IF((Table161267[[#This Row],[موقع العمل]]="المصنع"),150,IF((Table161267[[#This Row],[موقع العمل]]="الاسكندرية"),160,200))</f>
        <v>200</v>
      </c>
      <c r="P65" s="205">
        <f>SUMIF(Table1769[Column1],Table161267[[#This Row],[موقع العمل]],$AB$2:$AB$20)</f>
        <v>75</v>
      </c>
      <c r="Q65" s="205" t="str">
        <f>تسعير!$AT$4</f>
        <v>كفر الشيخ</v>
      </c>
      <c r="R65" s="204" t="s">
        <v>73</v>
      </c>
      <c r="S65" s="203"/>
      <c r="T65" s="220">
        <v>1</v>
      </c>
      <c r="U65" s="220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275</v>
      </c>
      <c r="V65" s="221">
        <f t="shared" si="9" ca="1"/>
        <v>1100</v>
      </c>
      <c r="W65" s="222">
        <f t="shared" si="10" ca="1"/>
        <v>0.031612979625649955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3"/>
      <c r="AU65" s="203"/>
      <c r="AV65" s="203"/>
      <c r="AW65" s="203"/>
      <c r="AX65" s="203"/>
      <c r="AY65" s="203"/>
      <c r="AZ65" s="203"/>
      <c r="BA65" s="203"/>
      <c r="BB65" s="203"/>
    </row>
    <row r="66" ht="18.75">
      <c r="L66" s="205">
        <v>9</v>
      </c>
      <c r="M66" s="218">
        <f>(M62+M63+M64+M65)*2</f>
        <v>22</v>
      </c>
      <c r="N66" s="206" t="s">
        <v>181</v>
      </c>
      <c r="O66" s="205"/>
      <c r="P66" s="205"/>
      <c r="Q66" s="205" t="str">
        <f>تسعير!$AT$4</f>
        <v>كفر الشيخ</v>
      </c>
      <c r="R66" s="204"/>
      <c r="S66" s="230">
        <f>SUMIF(Table1769[Column1],Table161267[[#This Row],[موقع العمل]],$Z$2:$Z$20)</f>
        <v>75</v>
      </c>
      <c r="T66" s="230"/>
      <c r="U66" s="220">
        <f>Table161267[[#This Row],[Column12]]</f>
        <v>75</v>
      </c>
      <c r="V66" s="221">
        <f t="shared" si="9" ca="1"/>
        <v>1650</v>
      </c>
      <c r="W66" s="222">
        <f t="shared" si="10" ca="1"/>
        <v>0.047419469438474929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203"/>
      <c r="AX66" s="203"/>
      <c r="AY66" s="203"/>
      <c r="AZ66" s="203"/>
      <c r="BA66" s="203"/>
      <c r="BB66" s="203"/>
    </row>
    <row r="67" ht="18.75">
      <c r="L67" s="205">
        <v>10</v>
      </c>
      <c r="M67" s="218">
        <f>IF((تسعير!$AU$14="بالتات"),0,((T62+T63+T64+T65)*2)-3)</f>
        <v>7</v>
      </c>
      <c r="N67" s="206" t="s">
        <v>182</v>
      </c>
      <c r="O67" s="205"/>
      <c r="P67" s="205"/>
      <c r="Q67" s="205" t="str">
        <f>تسعير!$AT$4</f>
        <v>كفر الشيخ</v>
      </c>
      <c r="R67" s="204"/>
      <c r="S67" s="230">
        <f>SUMIF(Table1769[Column1],Table161267[[#This Row],[موقع العمل]],$AA$2:$AA$20)</f>
        <v>50</v>
      </c>
      <c r="T67" s="230"/>
      <c r="U67" s="220">
        <f>Table161267[[#This Row],[Column12]]</f>
        <v>50</v>
      </c>
      <c r="V67" s="221">
        <f t="shared" si="9" ca="1"/>
        <v>350</v>
      </c>
      <c r="W67" s="222">
        <f t="shared" si="10" ca="1"/>
        <v>0.010058675335434076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3"/>
      <c r="AW67" s="203"/>
      <c r="AX67" s="203"/>
      <c r="AY67" s="203"/>
      <c r="AZ67" s="203"/>
      <c r="BA67" s="203"/>
      <c r="BB67" s="203"/>
    </row>
    <row r="68" ht="18.75">
      <c r="L68" s="205">
        <v>11</v>
      </c>
      <c r="M68" s="218">
        <v>0</v>
      </c>
      <c r="N68" s="206" t="s">
        <v>183</v>
      </c>
      <c r="O68" s="205"/>
      <c r="P68" s="205"/>
      <c r="Q68" s="205" t="str">
        <f>تسعير!$AT$4</f>
        <v>كفر الشيخ</v>
      </c>
      <c r="R68" s="204"/>
      <c r="S68" s="230">
        <f>SUMIF(Table1769[Column1],Table161267[[#This Row],[موقع العمل]],$AC$2:$AC$20)</f>
        <v>900</v>
      </c>
      <c r="T68" s="230"/>
      <c r="U68" s="220">
        <f>Table161267[[#This Row],[Column12]]</f>
        <v>900</v>
      </c>
      <c r="V68" s="221">
        <f t="shared" si="9" ca="1"/>
        <v>0</v>
      </c>
      <c r="W68" s="222">
        <f t="shared" si="10" ca="1"/>
        <v>0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</row>
    <row r="69" ht="18.75">
      <c r="L69" s="205">
        <v>12</v>
      </c>
      <c r="M69" s="218">
        <f>IF((تسعير!$AU$14="بالتات"),1,2)</f>
        <v>2</v>
      </c>
      <c r="N69" s="206" t="s">
        <v>184</v>
      </c>
      <c r="O69" s="205"/>
      <c r="P69" s="205"/>
      <c r="Q69" s="205" t="str">
        <f>تسعير!$AT$4</f>
        <v>كفر الشيخ</v>
      </c>
      <c r="R69" s="204"/>
      <c r="S69" s="230">
        <f>SUMIF(Table1769[Column1],Table161267[[#This Row],[موقع العمل]],$AD$2:$AD$20)</f>
        <v>1600</v>
      </c>
      <c r="T69" s="230"/>
      <c r="U69" s="220">
        <f>Table161267[[#This Row],[Column12]]</f>
        <v>1600</v>
      </c>
      <c r="V69" s="221">
        <f t="shared" si="9" ca="1"/>
        <v>3200</v>
      </c>
      <c r="W69" s="222">
        <f t="shared" si="10" ca="1"/>
        <v>0.09196503163825441</v>
      </c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</row>
    <row r="70" ht="18.75">
      <c r="L70" s="205">
        <v>13</v>
      </c>
      <c r="M70" s="218">
        <f>IF((تسعير!$AU$14="بالتات"),0,M67-2)</f>
        <v>5</v>
      </c>
      <c r="N70" s="206" t="s">
        <v>49</v>
      </c>
      <c r="O70" s="205"/>
      <c r="P70" s="205"/>
      <c r="Q70" s="205" t="str">
        <f>تسعير!$AT$4</f>
        <v>كفر الشيخ</v>
      </c>
      <c r="R70" s="204"/>
      <c r="S70" s="230">
        <f>SUMIF(Table1769[Column1],Table161267[[#This Row],[موقع العمل]],$AE$2:$AE$8)</f>
        <v>0</v>
      </c>
      <c r="T70" s="230"/>
      <c r="U70" s="220">
        <f>Table161267[[#This Row],[Column12]]</f>
        <v>0</v>
      </c>
      <c r="V70" s="221">
        <f t="shared" si="9" ca="1"/>
        <v>0</v>
      </c>
      <c r="W70" s="222">
        <f t="shared" si="10" ca="1"/>
        <v>0</v>
      </c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</row>
    <row r="71" ht="18.75">
      <c r="L71" s="205" t="s">
        <v>88</v>
      </c>
      <c r="M71" s="218"/>
      <c r="N71" s="219" t="s">
        <v>88</v>
      </c>
      <c r="O71" s="205"/>
      <c r="P71" s="205"/>
      <c r="Q71" s="204"/>
      <c r="R71" s="204"/>
      <c r="S71" s="203">
        <f>SUBTOTAL(109,Table161267[Column12])</f>
        <v>2625</v>
      </c>
      <c r="T71" s="205"/>
      <c r="U71" s="226"/>
      <c r="V71" s="221">
        <f>SUBTOTAL(109,Table161267[اجمالي])</f>
        <v>11650</v>
      </c>
      <c r="W71" s="243">
        <f>Table161267[[#Totals],[اجمالي]]/$R$74</f>
        <v>0.33481019330802</v>
      </c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</row>
    <row r="72" ht="18.75">
      <c r="L72" s="203"/>
      <c r="M72" s="203"/>
      <c r="N72" s="231"/>
      <c r="O72" s="630"/>
      <c r="P72" s="630"/>
      <c r="Q72" s="630"/>
      <c r="R72" s="630"/>
      <c r="S72" s="630"/>
      <c r="T72" s="630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203"/>
      <c r="AU72" s="203"/>
      <c r="AV72" s="203"/>
      <c r="AW72" s="203"/>
      <c r="AX72" s="203"/>
      <c r="AY72" s="203"/>
      <c r="AZ72" s="203"/>
      <c r="BA72" s="203"/>
      <c r="BB72" s="203"/>
    </row>
    <row r="73" ht="18.75">
      <c r="L73" s="205"/>
      <c r="M73" s="205"/>
      <c r="N73" s="233" t="s">
        <v>43</v>
      </c>
      <c r="O73" s="205" t="s">
        <v>185</v>
      </c>
      <c r="P73" s="205" t="s">
        <v>186</v>
      </c>
      <c r="Q73" s="205" t="s">
        <v>133</v>
      </c>
      <c r="R73" s="205" t="s">
        <v>64</v>
      </c>
      <c r="S73" s="205"/>
      <c r="T73" s="205"/>
      <c r="U73" s="205"/>
      <c r="V73" s="234"/>
      <c r="W73" s="205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203"/>
      <c r="AU73" s="203"/>
      <c r="AV73" s="203"/>
      <c r="AW73" s="203"/>
      <c r="AX73" s="203"/>
      <c r="AY73" s="203"/>
      <c r="AZ73" s="203"/>
      <c r="BA73" s="203"/>
      <c r="BB73" s="203"/>
    </row>
    <row r="74" ht="18.75">
      <c r="L74" s="205"/>
      <c r="M74" s="201"/>
      <c r="N74" s="219" t="s">
        <v>187</v>
      </c>
      <c r="O74" s="204"/>
      <c r="P74" s="205"/>
      <c r="Q74" s="370"/>
      <c r="R74" s="251">
        <f>Table161267[[#Totals],[اجمالي]]+Table161368[[#Totals],[اجمالي]]+Table1359[[#Totals],[اجمالي]]+Table1662[[#Totals],[اجمالي]]+Table1561[[#Totals],[اجمالي]]+Table158[[#Totals],[اجمالي]]</f>
        <v>34795.8342752193</v>
      </c>
      <c r="S74" s="205"/>
      <c r="T74" s="205"/>
      <c r="U74" s="220"/>
      <c r="V74" s="240"/>
      <c r="W74" s="241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</row>
    <row r="75" ht="18.75">
      <c r="L75" s="205"/>
      <c r="M75" s="218"/>
      <c r="N75" s="219" t="s">
        <v>188</v>
      </c>
      <c r="O75" s="204"/>
      <c r="P75" s="205"/>
      <c r="Q75" s="242">
        <f>IF((Q70="المقطم"),0.3,IF((Q70="التجمع"),0.3,IF((Q70="الشيخ زايد"),0.3,IF((Q70="الاسكندرية"),0.5,0.35))))</f>
        <v>0.35</v>
      </c>
      <c r="R75" s="251">
        <f>R74*(1+Table1870[[#This Row],[Column3]])</f>
        <v>46974.376271546054</v>
      </c>
      <c r="S75" s="205"/>
      <c r="T75" s="205"/>
      <c r="U75" s="220"/>
      <c r="V75" s="240"/>
      <c r="W75" s="241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  <c r="AT75" s="203"/>
      <c r="AU75" s="203"/>
      <c r="AV75" s="203"/>
      <c r="AW75" s="203"/>
      <c r="AX75" s="203"/>
      <c r="AY75" s="203"/>
      <c r="AZ75" s="203"/>
      <c r="BA75" s="203"/>
      <c r="BB75" s="203"/>
    </row>
    <row r="76" ht="18.75"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203"/>
      <c r="AU76" s="203"/>
      <c r="AV76" s="203"/>
      <c r="AW76" s="203"/>
      <c r="AX76" s="203"/>
      <c r="AY76" s="203"/>
      <c r="AZ76" s="203"/>
      <c r="BA76" s="203"/>
      <c r="BB76" s="203"/>
    </row>
    <row r="77" ht="18.75"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</row>
    <row r="78" ht="18.75"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</row>
    <row r="79" ht="18.75"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203"/>
      <c r="AW79" s="203"/>
      <c r="AX79" s="203"/>
      <c r="AY79" s="203"/>
      <c r="AZ79" s="203"/>
      <c r="BA79" s="203"/>
      <c r="BB79" s="203"/>
    </row>
    <row r="80" ht="18.75"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203"/>
      <c r="AX80" s="203"/>
      <c r="AY80" s="203"/>
      <c r="AZ80" s="203"/>
      <c r="BA80" s="203"/>
      <c r="BB80" s="203"/>
    </row>
    <row r="81" ht="18.75"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</row>
    <row r="82" ht="18.75"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203"/>
      <c r="AW82" s="203"/>
      <c r="AX82" s="203"/>
      <c r="AY82" s="203"/>
      <c r="AZ82" s="203"/>
      <c r="BA82" s="203"/>
      <c r="BB82" s="203"/>
    </row>
    <row r="83" ht="18.75"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</row>
    <row r="84" ht="18.75"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</row>
    <row r="85" ht="18.75"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</row>
    <row r="86" ht="18.75"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  <c r="AT86" s="203"/>
      <c r="AU86" s="203"/>
      <c r="AV86" s="203"/>
      <c r="AW86" s="203"/>
      <c r="AX86" s="203"/>
      <c r="AY86" s="203"/>
      <c r="AZ86" s="203"/>
      <c r="BA86" s="203"/>
      <c r="BB86" s="203"/>
    </row>
    <row r="87" ht="18.75"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</row>
    <row r="88" ht="18.75"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3"/>
      <c r="BB88" s="203"/>
    </row>
    <row r="89" ht="18.75"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3"/>
      <c r="BB89" s="203"/>
    </row>
    <row r="90" ht="18.75"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</row>
    <row r="91" ht="18.75"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3"/>
      <c r="BB91" s="203"/>
    </row>
    <row r="92" ht="18.75"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203"/>
      <c r="AX92" s="203"/>
      <c r="AY92" s="203"/>
      <c r="AZ92" s="203"/>
      <c r="BA92" s="203"/>
      <c r="BB92" s="203"/>
    </row>
    <row r="93" ht="18.75"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</row>
    <row r="94" ht="18.75"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3"/>
      <c r="AU94" s="203"/>
      <c r="AV94" s="203"/>
      <c r="AW94" s="203"/>
      <c r="AX94" s="203"/>
      <c r="AY94" s="203"/>
      <c r="AZ94" s="203"/>
      <c r="BA94" s="203"/>
      <c r="BB94" s="203"/>
    </row>
    <row r="95" ht="18.75"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203"/>
      <c r="AU95" s="203"/>
      <c r="AV95" s="203"/>
      <c r="AW95" s="203"/>
      <c r="AX95" s="203"/>
      <c r="AY95" s="203"/>
      <c r="AZ95" s="203"/>
      <c r="BA95" s="203"/>
      <c r="BB95" s="203"/>
    </row>
    <row r="96" ht="18.75"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203"/>
      <c r="AU96" s="203"/>
      <c r="AV96" s="203"/>
      <c r="AW96" s="203"/>
      <c r="AX96" s="203"/>
      <c r="AY96" s="203"/>
      <c r="AZ96" s="203"/>
      <c r="BA96" s="203"/>
      <c r="BB96" s="203"/>
    </row>
    <row r="97" ht="18.75"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203"/>
      <c r="AU97" s="203"/>
      <c r="AV97" s="203"/>
      <c r="AW97" s="203"/>
      <c r="AX97" s="203"/>
      <c r="AY97" s="203"/>
      <c r="AZ97" s="203"/>
      <c r="BA97" s="203"/>
      <c r="BB97" s="203"/>
    </row>
    <row r="98" ht="18.75"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  <c r="AZ98" s="203"/>
      <c r="BA98" s="203"/>
      <c r="BB98" s="203"/>
    </row>
    <row r="99" ht="18.75"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203"/>
      <c r="AW99" s="203"/>
      <c r="AX99" s="203"/>
      <c r="AY99" s="203"/>
      <c r="AZ99" s="203"/>
      <c r="BA99" s="203"/>
      <c r="BB99" s="203"/>
    </row>
    <row r="100" ht="18.75"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203"/>
      <c r="AW100" s="203"/>
      <c r="AX100" s="203"/>
      <c r="AY100" s="203"/>
      <c r="AZ100" s="203"/>
      <c r="BA100" s="203"/>
      <c r="BB100" s="203"/>
    </row>
    <row r="101" ht="18.75"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3"/>
      <c r="BA101" s="203"/>
      <c r="BB101" s="203"/>
    </row>
    <row r="102" ht="18.75"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203"/>
      <c r="AV102" s="203"/>
      <c r="AW102" s="203"/>
      <c r="AX102" s="203"/>
      <c r="AY102" s="203"/>
      <c r="AZ102" s="203"/>
      <c r="BA102" s="203"/>
      <c r="BB102" s="203"/>
    </row>
    <row r="103" ht="18.75"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3"/>
      <c r="AW103" s="203"/>
      <c r="AX103" s="203"/>
      <c r="AY103" s="203"/>
      <c r="AZ103" s="203"/>
      <c r="BA103" s="203"/>
      <c r="BB103" s="203"/>
    </row>
    <row r="104" ht="18.75"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</row>
    <row r="105" ht="18.75"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  <c r="AZ105" s="203"/>
      <c r="BA105" s="203"/>
      <c r="BB105" s="203"/>
    </row>
    <row r="106" ht="18.75"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203"/>
      <c r="AV106" s="203"/>
      <c r="AW106" s="203"/>
      <c r="AX106" s="203"/>
      <c r="AY106" s="203"/>
      <c r="AZ106" s="203"/>
      <c r="BA106" s="203"/>
      <c r="BB106" s="203"/>
    </row>
    <row r="107" ht="18.75"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203"/>
      <c r="AV107" s="203"/>
      <c r="AW107" s="203"/>
      <c r="AX107" s="203"/>
      <c r="AY107" s="203"/>
      <c r="AZ107" s="203"/>
      <c r="BA107" s="203"/>
      <c r="BB107" s="203"/>
    </row>
    <row r="108" ht="18.75"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</row>
    <row r="109" ht="18.75"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203"/>
      <c r="AU109" s="203"/>
      <c r="AV109" s="203"/>
      <c r="AW109" s="203"/>
      <c r="AX109" s="203"/>
      <c r="AY109" s="203"/>
      <c r="AZ109" s="203"/>
      <c r="BA109" s="203"/>
      <c r="BB109" s="203"/>
    </row>
    <row r="110" ht="18.75"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203"/>
      <c r="AU110" s="203"/>
      <c r="AV110" s="203"/>
      <c r="AW110" s="203"/>
      <c r="AX110" s="203"/>
      <c r="AY110" s="203"/>
      <c r="AZ110" s="203"/>
      <c r="BA110" s="203"/>
      <c r="BB110" s="203"/>
    </row>
    <row r="111" ht="18.75"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203"/>
      <c r="AU111" s="203"/>
      <c r="AV111" s="203"/>
      <c r="AW111" s="203"/>
      <c r="AX111" s="203"/>
      <c r="AY111" s="203"/>
      <c r="AZ111" s="203"/>
      <c r="BA111" s="203"/>
      <c r="BB111" s="203"/>
    </row>
    <row r="112" ht="18.75"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</row>
    <row r="113" ht="18.75"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</row>
    <row r="114" ht="18.75"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</row>
    <row r="115" ht="18.75"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</row>
    <row r="116" ht="18.75"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</row>
    <row r="117" ht="18.75"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</row>
    <row r="118" ht="18.75"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</row>
    <row r="119" ht="18.75"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</row>
    <row r="120" ht="18.75"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203"/>
      <c r="AV120" s="203"/>
      <c r="AW120" s="203"/>
      <c r="AX120" s="203"/>
      <c r="AY120" s="203"/>
      <c r="AZ120" s="203"/>
      <c r="BA120" s="203"/>
      <c r="BB120" s="203"/>
    </row>
    <row r="121" ht="18.75"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203"/>
      <c r="AV121" s="203"/>
      <c r="AW121" s="203"/>
      <c r="AX121" s="203"/>
      <c r="AY121" s="203"/>
      <c r="AZ121" s="203"/>
      <c r="BA121" s="203"/>
      <c r="BB121" s="203"/>
    </row>
    <row r="122" ht="18.75"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203"/>
      <c r="AV122" s="203"/>
      <c r="AW122" s="203"/>
      <c r="AX122" s="203"/>
      <c r="AY122" s="203"/>
      <c r="AZ122" s="203"/>
      <c r="BA122" s="203"/>
      <c r="BB122" s="203"/>
    </row>
    <row r="123" ht="18.75"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203"/>
      <c r="AV123" s="203"/>
      <c r="AW123" s="203"/>
      <c r="AX123" s="203"/>
      <c r="AY123" s="203"/>
      <c r="AZ123" s="203"/>
      <c r="BA123" s="203"/>
      <c r="BB123" s="203"/>
    </row>
    <row r="124" ht="18.75"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203"/>
      <c r="AV124" s="203"/>
      <c r="AW124" s="203"/>
      <c r="AX124" s="203"/>
      <c r="AY124" s="203"/>
      <c r="AZ124" s="203"/>
      <c r="BA124" s="203"/>
      <c r="BB124" s="203"/>
    </row>
    <row r="125" ht="18.75"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203"/>
      <c r="AV125" s="203"/>
      <c r="AW125" s="203"/>
      <c r="AX125" s="203"/>
      <c r="AY125" s="203"/>
      <c r="AZ125" s="203"/>
      <c r="BA125" s="203"/>
      <c r="BB125" s="203"/>
    </row>
    <row r="126" ht="18.75"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203"/>
      <c r="AV126" s="203"/>
      <c r="AW126" s="203"/>
      <c r="AX126" s="203"/>
      <c r="AY126" s="203"/>
      <c r="AZ126" s="203"/>
      <c r="BA126" s="203"/>
      <c r="BB126" s="203"/>
    </row>
    <row r="127" ht="18.75"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203"/>
      <c r="AV127" s="203"/>
      <c r="AW127" s="203"/>
      <c r="AX127" s="203"/>
      <c r="AY127" s="203"/>
      <c r="AZ127" s="203"/>
      <c r="BA127" s="203"/>
      <c r="BB127" s="203"/>
    </row>
    <row r="128" ht="18.75"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203"/>
      <c r="AV128" s="203"/>
      <c r="AW128" s="203"/>
      <c r="AX128" s="203"/>
      <c r="AY128" s="203"/>
      <c r="AZ128" s="203"/>
      <c r="BA128" s="203"/>
      <c r="BB128" s="203"/>
    </row>
    <row r="129" ht="18.75"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203"/>
      <c r="AV129" s="203"/>
      <c r="AW129" s="203"/>
      <c r="AX129" s="203"/>
      <c r="AY129" s="203"/>
      <c r="AZ129" s="203"/>
      <c r="BA129" s="203"/>
      <c r="BB129" s="203"/>
    </row>
    <row r="130" ht="18.75"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203"/>
      <c r="AV130" s="203"/>
      <c r="AW130" s="203"/>
      <c r="AX130" s="203"/>
      <c r="AY130" s="203"/>
      <c r="AZ130" s="203"/>
      <c r="BA130" s="203"/>
      <c r="BB130" s="203"/>
    </row>
    <row r="131" ht="18.75"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203"/>
      <c r="AV131" s="203"/>
      <c r="AW131" s="203"/>
      <c r="AX131" s="203"/>
      <c r="AY131" s="203"/>
      <c r="AZ131" s="203"/>
      <c r="BA131" s="203"/>
      <c r="BB131" s="203"/>
    </row>
    <row r="132" ht="18.75"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3"/>
      <c r="AZ132" s="203"/>
      <c r="BA132" s="203"/>
      <c r="BB132" s="203"/>
    </row>
    <row r="133" ht="18.75"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203"/>
      <c r="AV133" s="203"/>
      <c r="AW133" s="203"/>
      <c r="AX133" s="203"/>
      <c r="AY133" s="203"/>
      <c r="AZ133" s="203"/>
      <c r="BA133" s="203"/>
      <c r="BB133" s="203"/>
    </row>
    <row r="134" ht="18.75"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203"/>
      <c r="AV134" s="203"/>
      <c r="AW134" s="203"/>
      <c r="AX134" s="203"/>
      <c r="AY134" s="203"/>
      <c r="AZ134" s="203"/>
      <c r="BA134" s="203"/>
      <c r="BB134" s="203"/>
    </row>
    <row r="135" ht="18.75"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203"/>
      <c r="AV135" s="203"/>
      <c r="AW135" s="203"/>
      <c r="AX135" s="203"/>
      <c r="AY135" s="203"/>
      <c r="AZ135" s="203"/>
      <c r="BA135" s="203"/>
      <c r="BB135" s="203"/>
    </row>
    <row r="136" ht="18.75"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203"/>
      <c r="AV136" s="203"/>
      <c r="AW136" s="203"/>
      <c r="AX136" s="203"/>
      <c r="AY136" s="203"/>
      <c r="AZ136" s="203"/>
      <c r="BA136" s="203"/>
      <c r="BB136" s="203"/>
    </row>
    <row r="137" ht="18.75"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203"/>
      <c r="AV137" s="203"/>
      <c r="AW137" s="203"/>
      <c r="AX137" s="203"/>
      <c r="AY137" s="203"/>
      <c r="AZ137" s="203"/>
      <c r="BA137" s="203"/>
      <c r="BB137" s="203"/>
    </row>
    <row r="138" ht="18.75"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</row>
    <row r="139" ht="18.75"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203"/>
      <c r="AV139" s="203"/>
      <c r="AW139" s="203"/>
      <c r="AX139" s="203"/>
      <c r="AY139" s="203"/>
      <c r="AZ139" s="203"/>
      <c r="BA139" s="203"/>
      <c r="BB139" s="203"/>
    </row>
    <row r="140"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</row>
    <row r="141"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</row>
    <row r="142"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</row>
    <row r="143"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</row>
    <row r="144"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</row>
    <row r="145"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</row>
    <row r="146"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</row>
    <row r="147"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</row>
    <row r="148"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</row>
    <row r="149"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</row>
    <row r="150"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</row>
    <row r="151"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  <c r="AT158" s="190"/>
      <c r="AU158" s="190"/>
      <c r="AV158" s="190"/>
      <c r="AW158" s="190"/>
      <c r="AX158" s="190"/>
      <c r="AY158" s="190"/>
      <c r="AZ158" s="190"/>
      <c r="BA158" s="190"/>
      <c r="BB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</row>
    <row r="169"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</row>
    <row r="170"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</row>
    <row r="171"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</row>
    <row r="172"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</row>
    <row r="173"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</row>
    <row r="174"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</row>
    <row r="175"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</row>
    <row r="176"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</row>
    <row r="177"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</row>
    <row r="178"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</row>
    <row r="179"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</row>
  </sheetData>
  <sheetProtection selectLockedCells="1" selectUnlockedCells="1"/>
  <mergeCells>
    <mergeCell ref="O24:T24"/>
    <mergeCell ref="O50:T50"/>
    <mergeCell ref="O56:T56"/>
    <mergeCell ref="O72:T72"/>
    <mergeCell ref="L1:N2"/>
    <mergeCell ref="L3:M3"/>
    <mergeCell ref="R3:T3"/>
    <mergeCell ref="O4:T4"/>
    <mergeCell ref="O9:T9"/>
    <mergeCell ref="O19:T19"/>
  </mergeCells>
  <dataValidations disablePrompts="1" count="1">
    <dataValidation type="list" allowBlank="1" showInputMessage="1" showErrorMessage="1" sqref="R58:R70" xr:uid="{5C8EE7C6-9598-41D5-BA79-6F39821D118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92"/>
  <sheetViews>
    <sheetView rightToLeft="1" view="pageBreakPreview" topLeftCell="A67" zoomScale="70" zoomScaleNormal="55" zoomScaleSheetLayoutView="70" workbookViewId="0">
      <selection activeCell="F75" sqref="F75"/>
    </sheetView>
  </sheetViews>
  <sheetFormatPr defaultColWidth="9.140625" defaultRowHeight="15"/>
  <cols>
    <col min="1" max="1" bestFit="1" width="4.5703125" customWidth="1" style="190"/>
    <col min="2" max="2" bestFit="1" width="14.140625" customWidth="1" style="190"/>
    <col min="3" max="3" width="45.140625" customWidth="1" style="139"/>
    <col min="4" max="6" width="13.5703125" customWidth="1" style="190"/>
    <col min="7" max="7" width="28.5703125" customWidth="1" style="193"/>
    <col min="8" max="8" width="14.85546875" customWidth="1" style="196"/>
    <col min="9" max="9" width="14.85546875" customWidth="1" style="193"/>
    <col min="10" max="10" width="12.85546875" customWidth="1" style="193"/>
    <col min="11" max="11" width="15.42578125" customWidth="1" style="193"/>
    <col min="12" max="12" width="11" customWidth="1" style="193"/>
    <col min="13" max="13" width="9.140625" customWidth="1" style="190"/>
    <col min="14" max="14" width="17.85546875" customWidth="1" style="190"/>
    <col min="15" max="23" width="9.140625" customWidth="1" style="190"/>
    <col min="24" max="24" width="9.140625" customWidth="1" style="190"/>
    <col min="25" max="25" width="50.28515625" customWidth="1" style="190"/>
    <col min="26" max="26" width="11.42578125" customWidth="1" style="190"/>
    <col min="27" max="27" width="19.7109375" customWidth="1" style="190"/>
    <col min="28" max="28" width="21.5703125" customWidth="1" style="190"/>
    <col min="29" max="16384" width="9.140625" customWidth="1" style="190"/>
  </cols>
  <sheetData>
    <row r="1" ht="16.5" customHeight="1">
      <c r="A1" s="621" t="s">
        <v>34</v>
      </c>
      <c r="B1" s="622"/>
      <c r="C1" s="623"/>
      <c r="D1" s="207" t="s">
        <v>35</v>
      </c>
      <c r="E1" s="208" t="s">
        <v>36</v>
      </c>
      <c r="F1" s="171" t="s">
        <v>37</v>
      </c>
      <c r="G1" s="213" t="s">
        <v>38</v>
      </c>
      <c r="H1" s="213" t="s">
        <v>39</v>
      </c>
      <c r="I1" s="213" t="s">
        <v>40</v>
      </c>
      <c r="J1" s="213" t="s">
        <v>41</v>
      </c>
      <c r="K1" s="212" t="s">
        <v>42</v>
      </c>
      <c r="N1" s="190" t="s">
        <v>43</v>
      </c>
      <c r="O1" s="190" t="s">
        <v>44</v>
      </c>
      <c r="P1" s="190" t="s">
        <v>45</v>
      </c>
      <c r="Q1" s="190" t="s">
        <v>46</v>
      </c>
      <c r="R1" s="190" t="s">
        <v>47</v>
      </c>
      <c r="S1" s="190" t="s">
        <v>48</v>
      </c>
      <c r="T1" s="190" t="s">
        <v>49</v>
      </c>
    </row>
    <row r="2" ht="16.5" customHeight="1">
      <c r="A2" s="624"/>
      <c r="B2" s="625"/>
      <c r="C2" s="626"/>
      <c r="D2" s="209"/>
      <c r="E2" s="210"/>
      <c r="F2" s="194">
        <f>D2*E2</f>
        <v>0</v>
      </c>
      <c r="G2" s="214" t="e">
        <f>G88/F2</f>
        <v>#DIV/0!</v>
      </c>
      <c r="H2" s="217">
        <f>Sheet2!B12</f>
        <v>46000</v>
      </c>
      <c r="I2" s="200">
        <f>Sheet2!B13</f>
        <v>57000</v>
      </c>
      <c r="J2" s="199">
        <f>Sheet2!B14</f>
        <v>152000</v>
      </c>
      <c r="K2" s="199">
        <f>Sheet2!B15</f>
        <v>40000</v>
      </c>
      <c r="N2" s="203" t="s">
        <v>50</v>
      </c>
      <c r="O2" s="203">
        <v>0</v>
      </c>
      <c r="P2" s="203">
        <v>0</v>
      </c>
      <c r="Q2" s="203">
        <v>0</v>
      </c>
      <c r="R2" s="203">
        <v>500</v>
      </c>
      <c r="S2" s="203">
        <v>1000</v>
      </c>
      <c r="T2" s="203">
        <v>0</v>
      </c>
    </row>
    <row r="3" ht="29.25" customHeight="1">
      <c r="A3" s="627" t="s">
        <v>51</v>
      </c>
      <c r="B3" s="628"/>
      <c r="C3" s="215"/>
      <c r="F3" s="211" t="s">
        <v>52</v>
      </c>
      <c r="G3" s="631">
        <f>NOW()</f>
        <v>45133.622111365738</v>
      </c>
      <c r="H3" s="632"/>
      <c r="I3" s="632"/>
      <c r="J3" s="216"/>
      <c r="K3" s="216"/>
      <c r="L3" s="216"/>
      <c r="N3" s="203" t="s">
        <v>53</v>
      </c>
      <c r="O3" s="203">
        <v>60</v>
      </c>
      <c r="P3" s="203">
        <v>120</v>
      </c>
      <c r="Q3" s="203">
        <v>75</v>
      </c>
      <c r="R3" s="203">
        <v>900</v>
      </c>
      <c r="S3" s="203">
        <v>1600</v>
      </c>
      <c r="T3" s="203">
        <v>300</v>
      </c>
    </row>
    <row r="4" ht="18.75" customHeight="1">
      <c r="A4" s="191"/>
      <c r="B4" s="191"/>
      <c r="C4" s="197"/>
      <c r="D4" s="629" t="s">
        <v>54</v>
      </c>
      <c r="E4" s="629"/>
      <c r="F4" s="629"/>
      <c r="G4" s="629"/>
      <c r="H4" s="629"/>
      <c r="I4" s="629"/>
      <c r="J4" s="198"/>
      <c r="K4" s="198"/>
      <c r="L4" s="198"/>
      <c r="N4" s="203" t="s">
        <v>55</v>
      </c>
      <c r="O4" s="203">
        <v>120</v>
      </c>
      <c r="P4" s="203">
        <v>200</v>
      </c>
      <c r="Q4" s="203">
        <v>75</v>
      </c>
      <c r="R4" s="203">
        <v>1100</v>
      </c>
      <c r="S4" s="203">
        <v>2000</v>
      </c>
      <c r="T4" s="203">
        <v>100</v>
      </c>
      <c r="U4" s="190" t="s">
        <v>56</v>
      </c>
      <c r="Y4" s="190" t="s">
        <v>57</v>
      </c>
      <c r="Z4" s="190" t="s">
        <v>58</v>
      </c>
      <c r="AA4" s="190" t="s">
        <v>59</v>
      </c>
      <c r="AB4" s="190" t="s">
        <v>60</v>
      </c>
    </row>
    <row r="5" ht="16.5" customHeight="1">
      <c r="A5" s="191" t="s">
        <v>61</v>
      </c>
      <c r="B5" s="191" t="s">
        <v>62</v>
      </c>
      <c r="C5" s="189" t="s">
        <v>63</v>
      </c>
      <c r="D5" s="191" t="s">
        <v>64</v>
      </c>
      <c r="E5" s="191" t="s">
        <v>43</v>
      </c>
      <c r="F5" s="191" t="s">
        <v>65</v>
      </c>
      <c r="G5" s="192" t="s">
        <v>66</v>
      </c>
      <c r="H5" s="192" t="s">
        <v>67</v>
      </c>
      <c r="I5" s="192" t="s">
        <v>314</v>
      </c>
      <c r="J5" s="192" t="s">
        <v>69</v>
      </c>
      <c r="K5" s="195" t="s">
        <v>70</v>
      </c>
      <c r="L5" s="192" t="s">
        <v>71</v>
      </c>
      <c r="N5" s="203" t="s">
        <v>72</v>
      </c>
      <c r="O5" s="203">
        <v>100</v>
      </c>
      <c r="P5" s="203">
        <v>250</v>
      </c>
      <c r="Q5" s="203">
        <v>75</v>
      </c>
      <c r="R5" s="203">
        <v>1200</v>
      </c>
      <c r="S5" s="203">
        <v>2000</v>
      </c>
      <c r="T5" s="203">
        <v>100</v>
      </c>
      <c r="U5" s="190" t="s">
        <v>73</v>
      </c>
      <c r="Y5" s="193" t="s">
        <v>74</v>
      </c>
      <c r="Z5" s="193">
        <v>0.4</v>
      </c>
      <c r="AA5" s="192" t="s">
        <v>75</v>
      </c>
      <c r="AB5" s="203">
        <f>ROUND(IF((تسعير!T25="a"),IF(((Table118[[#Totals],[المسطح]]+Table1421[[#Totals],[Column12]]+Table1624[[#Totals],[Column12]])&gt;0),(Table118[[#Totals],[المسطح]]+Table1421[[#Totals],[Column12]]+Table1624[[#Totals],[Column12]]+1)*Table625[[#This Row],[المعدل]]),0),0)</f>
        <v>11</v>
      </c>
    </row>
    <row r="6" ht="21" customHeight="1" s="203" customFormat="1">
      <c r="A6" s="205">
        <v>1</v>
      </c>
      <c r="B6" s="218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4</v>
      </c>
      <c r="C6" s="224" t="s">
        <v>76</v>
      </c>
      <c r="D6" s="204">
        <v>0.03</v>
      </c>
      <c r="E6" s="204">
        <v>0.03</v>
      </c>
      <c r="F6" s="204">
        <f>(Table118[[#This Row],[Column1]]+Table118[[#This Row],[Column2]])*12*Table118[[#This Row],[عدد]]</f>
        <v>2.88</v>
      </c>
      <c r="G6" s="226" t="s">
        <v>77</v>
      </c>
      <c r="H6" s="205">
        <v>8.5</v>
      </c>
      <c r="I6" s="205">
        <f>Table118[[#This Row],[الوزن]]*Table118[[#This Row],[عدد]]</f>
        <v>34</v>
      </c>
      <c r="J6" s="220">
        <f>H6*$H$2/1000</f>
        <v>391</v>
      </c>
      <c r="K6" s="221">
        <f>B6*J6</f>
        <v>1564</v>
      </c>
      <c r="L6" s="222">
        <f>(K6)/$G$87</f>
        <v>0.00862104156291844</v>
      </c>
      <c r="N6" s="203" t="s">
        <v>78</v>
      </c>
      <c r="O6" s="203">
        <v>100</v>
      </c>
      <c r="P6" s="203">
        <v>100</v>
      </c>
      <c r="Q6" s="203">
        <v>75</v>
      </c>
      <c r="R6" s="203">
        <v>1250</v>
      </c>
      <c r="S6" s="203">
        <v>2000</v>
      </c>
      <c r="T6" s="203">
        <v>100</v>
      </c>
      <c r="Y6" s="203" t="s">
        <v>79</v>
      </c>
      <c r="Z6" s="203">
        <v>0.25</v>
      </c>
      <c r="AA6" s="203" t="s">
        <v>80</v>
      </c>
      <c r="AB6" s="203">
        <f>(AB5*Table625[[#This Row],[المعدل]]+4)</f>
        <v>6.75</v>
      </c>
    </row>
    <row r="7" ht="21" customHeight="1" s="203" customFormat="1">
      <c r="A7" s="205">
        <v>8</v>
      </c>
      <c r="B7" s="245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5.5</v>
      </c>
      <c r="C7" s="224" t="s">
        <v>81</v>
      </c>
      <c r="D7" s="225">
        <v>0.1</v>
      </c>
      <c r="E7" s="225">
        <v>0.1</v>
      </c>
      <c r="F7" s="204">
        <f>(Table118[[#This Row],[Column1]]+Table118[[#This Row],[Column2]])*12*Table118[[#This Row],[عدد]]</f>
        <v>13.200000000000003</v>
      </c>
      <c r="G7" s="226" t="s">
        <v>77</v>
      </c>
      <c r="H7" s="244">
        <v>46.75</v>
      </c>
      <c r="I7" s="244">
        <f>Table118[[#This Row],[الوزن]]*Table118[[#This Row],[عدد]]</f>
        <v>257.125</v>
      </c>
      <c r="J7" s="220">
        <f ref="J7:J9" t="shared" si="1">H7*$H$2/1000</f>
        <v>2150.5</v>
      </c>
      <c r="K7" s="247">
        <f ref="K7:K9" t="shared" si="2">B7*J7</f>
        <v>11827.75</v>
      </c>
      <c r="L7" s="222">
        <f>(K7)/$G$87</f>
        <v>0.0651966268195707</v>
      </c>
      <c r="N7" s="203" t="s">
        <v>82</v>
      </c>
      <c r="O7" s="203">
        <v>75</v>
      </c>
      <c r="P7" s="203">
        <v>100</v>
      </c>
      <c r="Q7" s="203">
        <v>75</v>
      </c>
      <c r="R7" s="203">
        <v>1500</v>
      </c>
      <c r="S7" s="203">
        <v>3000</v>
      </c>
      <c r="T7" s="203">
        <v>250</v>
      </c>
      <c r="Y7" s="203" t="s">
        <v>83</v>
      </c>
      <c r="Z7" s="203">
        <v>0.25</v>
      </c>
      <c r="AA7" s="205" t="s">
        <v>84</v>
      </c>
      <c r="AB7" s="203">
        <f>ROUND(IF(((Table118[[#Totals],[المسطح]]+Table1421[[#Totals],[Column12]]+Table1624[[#Totals],[Column12]])&gt;0),(Table118[[#Totals],[المسطح]]+Table1421[[#Totals],[Column12]]+Table1624[[#Totals],[Column12]]+1)*Table625[[#This Row],[المعدل]],0),0)</f>
        <v>7</v>
      </c>
    </row>
    <row r="8" ht="21" customHeight="1" s="203" customFormat="1">
      <c r="A8" s="205">
        <v>20</v>
      </c>
      <c r="B8" s="245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24" t="s">
        <v>291</v>
      </c>
      <c r="D8" s="225">
        <v>0.1</v>
      </c>
      <c r="E8" s="225">
        <v>0.05</v>
      </c>
      <c r="F8" s="204">
        <f>(Table118[[#This Row],[Column1]]+Table118[[#This Row],[Column2]])*12*Table118[[#This Row],[عدد]]</f>
        <v>5.4</v>
      </c>
      <c r="G8" s="205" t="s">
        <v>77</v>
      </c>
      <c r="H8" s="244">
        <v>28.25</v>
      </c>
      <c r="I8" s="244">
        <f>Table118[[#This Row],[الوزن]]*Table118[[#This Row],[عدد]]</f>
        <v>84.75</v>
      </c>
      <c r="J8" s="220">
        <f t="shared" si="1"/>
        <v>1299.5</v>
      </c>
      <c r="K8" s="247">
        <f t="shared" si="2"/>
        <v>3898.5</v>
      </c>
      <c r="L8" s="222">
        <f>(K8)/$G$87</f>
        <v>0.021489213895804053</v>
      </c>
      <c r="N8" s="203" t="s">
        <v>86</v>
      </c>
      <c r="O8" s="203">
        <v>30</v>
      </c>
      <c r="P8" s="203">
        <v>30</v>
      </c>
      <c r="Q8" s="203">
        <v>75</v>
      </c>
      <c r="R8" s="203">
        <v>600</v>
      </c>
      <c r="S8" s="203">
        <v>1100</v>
      </c>
      <c r="T8" s="203">
        <v>150</v>
      </c>
      <c r="Y8" s="203" t="s">
        <v>87</v>
      </c>
      <c r="Z8" s="203">
        <v>0.4</v>
      </c>
      <c r="AA8" s="205" t="s">
        <v>84</v>
      </c>
      <c r="AB8" s="203">
        <f>ROUND(IF((تسعير!T25="a"),IF(((Table118[[#Totals],[المسطح]]+Table1421[[#Totals],[Column12]]+Table1624[[#Totals],[Column12]])&gt;0),(Table118[[#Totals],[المسطح]]+Table1421[[#Totals],[Column12]]+Table1624[[#Totals],[Column12]]+1)*Table625[[#This Row],[المعدل]]),0),0)</f>
        <v>11</v>
      </c>
    </row>
    <row r="9" ht="21" customHeight="1" s="203" customFormat="1">
      <c r="A9" s="205">
        <v>26</v>
      </c>
      <c r="B9" s="245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24" t="s">
        <v>85</v>
      </c>
      <c r="D9" s="225">
        <v>0.15</v>
      </c>
      <c r="E9" s="225">
        <v>0.05</v>
      </c>
      <c r="F9" s="204">
        <f>(Table118[[#This Row],[Column1]]+Table118[[#This Row],[Column2]])*12*Table118[[#This Row],[عدد]]</f>
        <v>3.6000000000000005</v>
      </c>
      <c r="G9" s="205" t="s">
        <v>77</v>
      </c>
      <c r="H9" s="244">
        <v>56</v>
      </c>
      <c r="I9" s="244">
        <f>Table118[[#This Row],[الوزن]]*Table118[[#This Row],[عدد]]</f>
        <v>84</v>
      </c>
      <c r="J9" s="220">
        <f t="shared" si="1"/>
        <v>2576</v>
      </c>
      <c r="K9" s="247">
        <f t="shared" si="2"/>
        <v>3864</v>
      </c>
      <c r="L9" s="222">
        <f>(K9)/$G$87</f>
        <v>0.021299043861327912</v>
      </c>
      <c r="N9" s="203" t="s">
        <v>89</v>
      </c>
      <c r="O9" s="203">
        <v>50</v>
      </c>
      <c r="P9" s="203">
        <v>50</v>
      </c>
      <c r="Q9" s="203">
        <v>75</v>
      </c>
      <c r="R9" s="203">
        <v>900</v>
      </c>
      <c r="S9" s="203">
        <v>1600</v>
      </c>
      <c r="T9" s="203">
        <v>150</v>
      </c>
      <c r="Y9" s="203" t="s">
        <v>90</v>
      </c>
      <c r="AA9" s="203" t="s">
        <v>91</v>
      </c>
    </row>
    <row r="10" ht="21" customHeight="1" s="203" customFormat="1">
      <c r="A10" s="205"/>
      <c r="B10" s="218"/>
      <c r="C10" s="219" t="s">
        <v>88</v>
      </c>
      <c r="D10" s="204"/>
      <c r="E10" s="204"/>
      <c r="F10" s="203">
        <f>SUBTOTAL(109,Table118[المسطح])</f>
        <v>25.080000000000005</v>
      </c>
      <c r="G10" s="205"/>
      <c r="H10" s="205"/>
      <c r="I10" s="266">
        <f>SUBTOTAL(109,Table118[اجمالي الميزان])</f>
        <v>459.875</v>
      </c>
      <c r="J10" s="226"/>
      <c r="K10" s="221">
        <f>SUBTOTAL(109,Table118[اجمالي])</f>
        <v>21154.25</v>
      </c>
      <c r="L10" s="243">
        <f>Table118[[#Totals],[اجمالي]]/$G$87</f>
        <v>0.11660592613962111</v>
      </c>
      <c r="N10" s="203" t="s">
        <v>93</v>
      </c>
      <c r="O10" s="203">
        <v>50</v>
      </c>
      <c r="P10" s="203">
        <v>50</v>
      </c>
      <c r="Q10" s="203">
        <v>75</v>
      </c>
      <c r="R10" s="203">
        <v>900</v>
      </c>
      <c r="S10" s="203">
        <v>1600</v>
      </c>
      <c r="T10" s="203">
        <v>150</v>
      </c>
    </row>
    <row r="11" ht="21" customHeight="1" s="203" customFormat="1">
      <c r="C11" s="231"/>
      <c r="D11" s="629" t="s">
        <v>92</v>
      </c>
      <c r="E11" s="629"/>
      <c r="F11" s="629"/>
      <c r="G11" s="629"/>
      <c r="H11" s="629"/>
      <c r="I11" s="629"/>
      <c r="L11" s="232"/>
      <c r="N11" s="203" t="s">
        <v>96</v>
      </c>
      <c r="O11" s="203">
        <v>75</v>
      </c>
      <c r="P11" s="203">
        <v>50</v>
      </c>
      <c r="Q11" s="203">
        <v>75</v>
      </c>
      <c r="R11" s="203">
        <v>900</v>
      </c>
      <c r="S11" s="203">
        <v>1600</v>
      </c>
      <c r="T11" s="203">
        <v>150</v>
      </c>
      <c r="Y11" s="219" t="s">
        <v>94</v>
      </c>
      <c r="Z11" s="203">
        <v>0.6</v>
      </c>
      <c r="AB11" s="203">
        <f>IF((تسعير!T25="b"),IF(((Table118[[#Totals],[المسطح]]+Table1421[[#Totals],[Column12]]+Table1624[[#Totals],[Column12]])&gt;0),(Table118[[#Totals],[المسطح]]+Table1421[[#Totals],[Column12]]+Table1624[[#Totals],[Column12]]+1)*Table625[[#This Row],[المعدل]]),0)</f>
        <v>0</v>
      </c>
    </row>
    <row r="12" ht="21" customHeight="1" s="203" customFormat="1">
      <c r="A12" s="205" t="s">
        <v>61</v>
      </c>
      <c r="B12" s="205" t="s">
        <v>62</v>
      </c>
      <c r="C12" s="233" t="s">
        <v>63</v>
      </c>
      <c r="D12" s="205" t="s">
        <v>64</v>
      </c>
      <c r="E12" s="205" t="s">
        <v>43</v>
      </c>
      <c r="F12" s="205" t="s">
        <v>95</v>
      </c>
      <c r="G12" s="205" t="s">
        <v>66</v>
      </c>
      <c r="H12" s="205" t="s">
        <v>67</v>
      </c>
      <c r="I12" s="205" t="s">
        <v>110</v>
      </c>
      <c r="J12" s="205" t="s">
        <v>69</v>
      </c>
      <c r="K12" s="234" t="s">
        <v>70</v>
      </c>
      <c r="L12" s="205" t="s">
        <v>71</v>
      </c>
      <c r="N12" s="203" t="s">
        <v>100</v>
      </c>
      <c r="O12" s="203">
        <v>75</v>
      </c>
      <c r="P12" s="203">
        <v>50</v>
      </c>
      <c r="Q12" s="203">
        <v>75</v>
      </c>
      <c r="R12" s="203">
        <v>900</v>
      </c>
      <c r="S12" s="203">
        <v>1600</v>
      </c>
      <c r="T12" s="203">
        <v>150</v>
      </c>
      <c r="Y12" s="233" t="s">
        <v>97</v>
      </c>
    </row>
    <row r="13" ht="21" customHeight="1" s="203" customFormat="1">
      <c r="A13" s="244">
        <v>5</v>
      </c>
      <c r="B13" s="245">
        <f>IF((تسعير!X31&lt;800),0,IF(AND((تسعير!X31&gt;800),(600&lt;تسعير!AA33)),1,0))</f>
        <v>0</v>
      </c>
      <c r="C13" s="219" t="s">
        <v>98</v>
      </c>
      <c r="D13" s="246">
        <v>0.14</v>
      </c>
      <c r="E13" s="246">
        <v>0.14</v>
      </c>
      <c r="F13" s="204">
        <f>(Table1421[[#This Row],[Column1]]+Table1421[[#This Row],[Column2]])*24*Table1421[[#This Row],[عدد]]</f>
        <v>0</v>
      </c>
      <c r="G13" s="205" t="s">
        <v>99</v>
      </c>
      <c r="H13" s="244">
        <v>202</v>
      </c>
      <c r="I13" s="244">
        <f>Table1421[[#This Row],[الوزن]]*Table1421[[#This Row],[عدد]]</f>
        <v>0</v>
      </c>
      <c r="J13" s="220">
        <f ref="J13:J14" t="shared" si="3">H13*$I$2/1000</f>
        <v>11514</v>
      </c>
      <c r="K13" s="221">
        <f ref="K13:K14" t="shared" si="4">B13*J13</f>
        <v>0</v>
      </c>
      <c r="L13" s="222">
        <f>(K13)/$G$87</f>
        <v>0</v>
      </c>
      <c r="N13" s="203" t="s">
        <v>103</v>
      </c>
      <c r="O13" s="203">
        <v>75</v>
      </c>
      <c r="P13" s="203">
        <v>50</v>
      </c>
      <c r="Q13" s="203">
        <v>75</v>
      </c>
      <c r="R13" s="203">
        <v>900</v>
      </c>
      <c r="S13" s="203">
        <v>1600</v>
      </c>
      <c r="T13" s="203">
        <v>150</v>
      </c>
      <c r="Y13" s="233" t="s">
        <v>101</v>
      </c>
      <c r="Z13" s="203">
        <v>0.6</v>
      </c>
      <c r="AB13" s="203">
        <f>IF((تسعير!T25="b"),IF(((Table118[[#Totals],[المسطح]]+Table1421[[#Totals],[Column12]]+Table1624[[#Totals],[Column12]])&gt;0),(Table118[[#Totals],[المسطح]]+Table1421[[#Totals],[Column12]]+Table1624[[#Totals],[Column12]]+1)*Table625[[#This Row],[المعدل]]),0)</f>
        <v>0</v>
      </c>
    </row>
    <row r="14" ht="21" customHeight="1" s="203" customFormat="1">
      <c r="A14" s="244">
        <v>6</v>
      </c>
      <c r="B14" s="245">
        <f>IF((تسعير!X31&lt;800),0,IF(AND((تسعير!X31&gt;800),(600&gt;=تسعير!AA33)),1,0))</f>
        <v>0</v>
      </c>
      <c r="C14" s="219" t="s">
        <v>102</v>
      </c>
      <c r="D14" s="246">
        <v>0.14</v>
      </c>
      <c r="E14" s="246">
        <v>0.14</v>
      </c>
      <c r="F14" s="246">
        <f>(Table1421[[#This Row],[Column1]]+Table1421[[#This Row],[Column2]])*12*Table1421[[#This Row],[عدد]]</f>
        <v>0</v>
      </c>
      <c r="G14" s="205" t="s">
        <v>77</v>
      </c>
      <c r="H14" s="244">
        <v>101</v>
      </c>
      <c r="I14" s="244">
        <f>Table1421[[#This Row],[الوزن]]*Table1421[[#This Row],[عدد]]</f>
        <v>0</v>
      </c>
      <c r="J14" s="220">
        <f t="shared" si="3"/>
        <v>5757</v>
      </c>
      <c r="K14" s="221">
        <f t="shared" si="4"/>
        <v>0</v>
      </c>
      <c r="L14" s="222">
        <f>(K14)/$G$87</f>
        <v>0</v>
      </c>
      <c r="N14" s="203" t="s">
        <v>105</v>
      </c>
      <c r="O14" s="203">
        <v>100</v>
      </c>
      <c r="P14" s="203">
        <v>50</v>
      </c>
      <c r="Q14" s="203">
        <v>75</v>
      </c>
      <c r="R14" s="203">
        <v>1000</v>
      </c>
      <c r="S14" s="203">
        <v>2000</v>
      </c>
      <c r="T14" s="203">
        <v>150</v>
      </c>
      <c r="Y14" s="233" t="s">
        <v>104</v>
      </c>
    </row>
    <row r="15" ht="21" customHeight="1" s="203" customFormat="1">
      <c r="A15" s="205" t="s">
        <v>88</v>
      </c>
      <c r="B15" s="218"/>
      <c r="C15" s="219" t="s">
        <v>88</v>
      </c>
      <c r="D15" s="204"/>
      <c r="E15" s="204"/>
      <c r="F15" s="204">
        <f>SUBTOTAL(109,Table1421[Column12])</f>
        <v>0</v>
      </c>
      <c r="G15" s="205"/>
      <c r="H15" s="205"/>
      <c r="I15" s="205">
        <f>SUBTOTAL(109,Table1421[سعر الكيلو])</f>
        <v>0</v>
      </c>
      <c r="J15" s="250"/>
      <c r="K15" s="221">
        <f>SUBTOTAL(109,Table1421[اجمالي])</f>
        <v>0</v>
      </c>
      <c r="L15" s="243">
        <f>Table1421[[#Totals],[اجمالي]]/$G$87</f>
        <v>0</v>
      </c>
      <c r="N15" s="203" t="s">
        <v>108</v>
      </c>
      <c r="O15" s="203">
        <v>120</v>
      </c>
      <c r="P15" s="203">
        <v>50</v>
      </c>
      <c r="Q15" s="203">
        <v>75</v>
      </c>
      <c r="R15" s="203">
        <v>1100</v>
      </c>
      <c r="S15" s="203">
        <v>2100</v>
      </c>
      <c r="T15" s="203">
        <v>200</v>
      </c>
      <c r="Y15" s="233" t="s">
        <v>106</v>
      </c>
    </row>
    <row r="16" ht="21" customHeight="1" s="203" customFormat="1">
      <c r="C16" s="231"/>
      <c r="D16" s="629" t="s">
        <v>107</v>
      </c>
      <c r="E16" s="629"/>
      <c r="F16" s="629"/>
      <c r="G16" s="629"/>
      <c r="H16" s="629"/>
      <c r="I16" s="629"/>
      <c r="N16" s="203" t="s">
        <v>111</v>
      </c>
      <c r="O16" s="203">
        <v>150</v>
      </c>
      <c r="P16" s="203">
        <v>50</v>
      </c>
      <c r="Q16" s="203">
        <v>75</v>
      </c>
      <c r="R16" s="203">
        <v>1300</v>
      </c>
      <c r="S16" s="203">
        <v>2200</v>
      </c>
      <c r="T16" s="203">
        <v>200</v>
      </c>
      <c r="Y16" s="233" t="s">
        <v>109</v>
      </c>
      <c r="Z16" s="203">
        <v>0.25</v>
      </c>
      <c r="AB16" s="203">
        <f>IF((تسعير!T25="b"),(AB13*Table625[[#This Row],[المعدل]]),0)</f>
        <v>0</v>
      </c>
    </row>
    <row r="17" ht="18.75" s="203" customFormat="1">
      <c r="A17" s="205" t="s">
        <v>61</v>
      </c>
      <c r="B17" s="205" t="s">
        <v>62</v>
      </c>
      <c r="C17" s="233" t="s">
        <v>63</v>
      </c>
      <c r="D17" s="205" t="s">
        <v>64</v>
      </c>
      <c r="E17" s="205" t="s">
        <v>43</v>
      </c>
      <c r="F17" s="205" t="s">
        <v>95</v>
      </c>
      <c r="G17" s="205" t="s">
        <v>66</v>
      </c>
      <c r="H17" s="205" t="s">
        <v>67</v>
      </c>
      <c r="I17" s="205" t="s">
        <v>110</v>
      </c>
      <c r="J17" s="205" t="s">
        <v>69</v>
      </c>
      <c r="K17" s="234" t="s">
        <v>70</v>
      </c>
      <c r="L17" s="205" t="s">
        <v>71</v>
      </c>
      <c r="N17" s="203" t="s">
        <v>115</v>
      </c>
      <c r="O17" s="203">
        <v>150</v>
      </c>
      <c r="P17" s="203">
        <v>50</v>
      </c>
      <c r="Q17" s="203">
        <v>75</v>
      </c>
      <c r="R17" s="203">
        <v>1200</v>
      </c>
      <c r="S17" s="203">
        <v>2300</v>
      </c>
      <c r="T17" s="203">
        <v>200</v>
      </c>
      <c r="Y17" s="233" t="s">
        <v>112</v>
      </c>
      <c r="Z17" s="203">
        <v>0.25</v>
      </c>
      <c r="AB17" s="203">
        <f>IF((تسعير!T25="b"),(AB11*Table625[[#This Row],[المعدل]]),0)</f>
        <v>0</v>
      </c>
    </row>
    <row r="18" ht="18.75" s="203" customFormat="1">
      <c r="A18" s="205">
        <v>1</v>
      </c>
      <c r="B18" s="218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9" t="s">
        <v>113</v>
      </c>
      <c r="D18" s="204"/>
      <c r="E18" s="204"/>
      <c r="F18" s="204"/>
      <c r="G18" s="205" t="s">
        <v>114</v>
      </c>
      <c r="H18" s="205"/>
      <c r="I18" s="226"/>
      <c r="J18" s="230">
        <f>Sheet2!B28</f>
        <v>300</v>
      </c>
      <c r="K18" s="221">
        <f ref="K18:K27" t="shared" si="5">B18*J18</f>
        <v>600</v>
      </c>
      <c r="L18" s="222">
        <f ref="L18:L27" t="shared" si="6">(K18)/$G$87</f>
        <v>0.0033073049474111661</v>
      </c>
      <c r="N18" s="203" t="s">
        <v>118</v>
      </c>
      <c r="O18" s="203">
        <v>500</v>
      </c>
      <c r="P18" s="203">
        <v>200</v>
      </c>
      <c r="Q18" s="203">
        <v>100</v>
      </c>
      <c r="R18" s="203">
        <v>2500</v>
      </c>
      <c r="S18" s="203">
        <v>4000</v>
      </c>
      <c r="T18" s="203">
        <v>300</v>
      </c>
    </row>
    <row r="19" ht="18.75" s="203" customFormat="1">
      <c r="A19" s="205">
        <v>2</v>
      </c>
      <c r="B19" s="201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9" t="s">
        <v>116</v>
      </c>
      <c r="D19" s="204"/>
      <c r="E19" s="204"/>
      <c r="F19" s="204"/>
      <c r="G19" s="205" t="s">
        <v>117</v>
      </c>
      <c r="H19" s="205"/>
      <c r="I19" s="226"/>
      <c r="J19" s="230">
        <v>250</v>
      </c>
      <c r="K19" s="221">
        <f t="shared" si="5"/>
        <v>750</v>
      </c>
      <c r="L19" s="222">
        <f t="shared" si="6"/>
        <v>0.0041341311842639575</v>
      </c>
      <c r="N19" s="203" t="s">
        <v>120</v>
      </c>
      <c r="O19" s="203">
        <v>500</v>
      </c>
      <c r="P19" s="203">
        <v>200</v>
      </c>
      <c r="Q19" s="203">
        <v>100</v>
      </c>
      <c r="R19" s="203">
        <v>3500</v>
      </c>
      <c r="S19" s="203">
        <v>5000</v>
      </c>
      <c r="T19" s="203">
        <v>300</v>
      </c>
    </row>
    <row r="20" ht="18.75" s="203" customFormat="1">
      <c r="A20" s="205">
        <v>3</v>
      </c>
      <c r="B20" s="218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9" t="s">
        <v>119</v>
      </c>
      <c r="D20" s="204"/>
      <c r="E20" s="204"/>
      <c r="F20" s="204"/>
      <c r="G20" s="205" t="s">
        <v>62</v>
      </c>
      <c r="H20" s="205"/>
      <c r="I20" s="226"/>
      <c r="J20" s="230">
        <v>85</v>
      </c>
      <c r="K20" s="221">
        <f t="shared" si="5"/>
        <v>340</v>
      </c>
      <c r="L20" s="222">
        <f t="shared" si="6"/>
        <v>0.0018741394701996608</v>
      </c>
      <c r="N20" s="203" t="s">
        <v>122</v>
      </c>
      <c r="O20" s="203">
        <v>550</v>
      </c>
      <c r="P20" s="203">
        <v>200</v>
      </c>
      <c r="Q20" s="203">
        <v>100</v>
      </c>
      <c r="R20" s="203">
        <v>4500</v>
      </c>
      <c r="S20" s="203">
        <v>6000</v>
      </c>
      <c r="T20" s="203">
        <v>300</v>
      </c>
    </row>
    <row r="21" ht="18.75" s="203" customFormat="1">
      <c r="A21" s="205">
        <v>4</v>
      </c>
      <c r="B21" s="201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9" t="s">
        <v>121</v>
      </c>
      <c r="D21" s="204"/>
      <c r="E21" s="204"/>
      <c r="F21" s="204"/>
      <c r="G21" s="205" t="s">
        <v>62</v>
      </c>
      <c r="H21" s="205"/>
      <c r="I21" s="226"/>
      <c r="J21" s="230">
        <v>75</v>
      </c>
      <c r="K21" s="221">
        <f t="shared" si="5"/>
        <v>150</v>
      </c>
      <c r="L21" s="222">
        <f t="shared" si="6"/>
        <v>0.00082682623685279152</v>
      </c>
    </row>
    <row r="22" ht="18.75" s="203" customFormat="1">
      <c r="A22" s="205">
        <v>5</v>
      </c>
      <c r="B22" s="218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24</v>
      </c>
      <c r="C22" s="219" t="s">
        <v>123</v>
      </c>
      <c r="D22" s="204"/>
      <c r="E22" s="204"/>
      <c r="F22" s="204"/>
      <c r="G22" s="230" t="s">
        <v>124</v>
      </c>
      <c r="H22" s="230"/>
      <c r="I22" s="226"/>
      <c r="J22" s="230">
        <v>30</v>
      </c>
      <c r="K22" s="221">
        <f t="shared" si="5"/>
        <v>720</v>
      </c>
      <c r="L22" s="222">
        <f t="shared" si="6"/>
        <v>0.0039687659368934</v>
      </c>
    </row>
    <row r="23" ht="18.75" s="203" customFormat="1">
      <c r="A23" s="205">
        <v>6</v>
      </c>
      <c r="B23" s="201">
        <f>B19*3</f>
        <v>9</v>
      </c>
      <c r="C23" s="219" t="s">
        <v>125</v>
      </c>
      <c r="D23" s="204"/>
      <c r="E23" s="204"/>
      <c r="F23" s="204"/>
      <c r="G23" s="230" t="s">
        <v>126</v>
      </c>
      <c r="H23" s="230"/>
      <c r="I23" s="226"/>
      <c r="J23" s="230">
        <v>10</v>
      </c>
      <c r="K23" s="221">
        <f t="shared" si="5"/>
        <v>90</v>
      </c>
      <c r="L23" s="222">
        <f t="shared" si="6"/>
        <v>0.000496095742111675</v>
      </c>
    </row>
    <row r="24" ht="18.75" s="203" customFormat="1">
      <c r="A24" s="205">
        <v>7</v>
      </c>
      <c r="B24" s="218">
        <f>IF((Table2020[Column2]="no"),0,(تسعير!AA33/100))</f>
        <v>5</v>
      </c>
      <c r="C24" s="224" t="s">
        <v>127</v>
      </c>
      <c r="D24" s="225"/>
      <c r="E24" s="225"/>
      <c r="F24" s="225"/>
      <c r="G24" s="235" t="s">
        <v>126</v>
      </c>
      <c r="H24" s="235"/>
      <c r="I24" s="235"/>
      <c r="J24" s="235">
        <f>Sheet2!B29</f>
        <v>400</v>
      </c>
      <c r="K24" s="221">
        <f t="shared" si="5"/>
        <v>2000</v>
      </c>
      <c r="L24" s="222">
        <f t="shared" si="6"/>
        <v>0.011024349824703888</v>
      </c>
    </row>
    <row r="25" ht="18.75" s="203" customFormat="1">
      <c r="A25" s="205">
        <v>8</v>
      </c>
      <c r="B25" s="201">
        <f>B19*10</f>
        <v>30</v>
      </c>
      <c r="C25" s="224" t="s">
        <v>128</v>
      </c>
      <c r="D25" s="225"/>
      <c r="E25" s="225"/>
      <c r="F25" s="225"/>
      <c r="G25" s="235" t="s">
        <v>129</v>
      </c>
      <c r="H25" s="235"/>
      <c r="I25" s="235"/>
      <c r="J25" s="235">
        <v>1</v>
      </c>
      <c r="K25" s="221">
        <f t="shared" si="5"/>
        <v>30</v>
      </c>
      <c r="L25" s="222">
        <f t="shared" si="6"/>
        <v>0.00016536524737055831</v>
      </c>
    </row>
    <row r="26" ht="18.75" s="203" customFormat="1">
      <c r="A26" s="205">
        <v>15</v>
      </c>
      <c r="B26" s="218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9" t="s">
        <v>130</v>
      </c>
      <c r="D26" s="204"/>
      <c r="E26" s="204"/>
      <c r="F26" s="204"/>
      <c r="G26" s="205" t="s">
        <v>124</v>
      </c>
      <c r="H26" s="205"/>
      <c r="I26" s="226"/>
      <c r="J26" s="220">
        <f>Sheet2!B30</f>
        <v>400</v>
      </c>
      <c r="K26" s="221">
        <f t="shared" si="5"/>
        <v>0</v>
      </c>
      <c r="L26" s="222">
        <f t="shared" si="6"/>
        <v>0</v>
      </c>
    </row>
    <row r="27" ht="18.75" s="203" customFormat="1">
      <c r="A27" s="205">
        <v>16</v>
      </c>
      <c r="B27" s="218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9" t="s">
        <v>131</v>
      </c>
      <c r="D27" s="204"/>
      <c r="E27" s="204"/>
      <c r="F27" s="204"/>
      <c r="G27" s="205" t="s">
        <v>124</v>
      </c>
      <c r="H27" s="205"/>
      <c r="I27" s="226"/>
      <c r="J27" s="220">
        <f>Sheet2!B31</f>
        <v>250</v>
      </c>
      <c r="K27" s="221">
        <f t="shared" si="5"/>
        <v>500</v>
      </c>
      <c r="L27" s="222">
        <f t="shared" si="6"/>
        <v>0.0027560874561759719</v>
      </c>
    </row>
    <row r="28" ht="18.75" s="203" customFormat="1">
      <c r="A28" s="266" t="s">
        <v>88</v>
      </c>
      <c r="B28" s="269"/>
      <c r="C28" s="270" t="s">
        <v>88</v>
      </c>
      <c r="D28" s="272"/>
      <c r="E28" s="272"/>
      <c r="F28" s="271"/>
      <c r="G28" s="266"/>
      <c r="H28" s="266"/>
      <c r="I28" s="266"/>
      <c r="J28" s="273"/>
      <c r="K28" s="267">
        <f>SUBTOTAL(109,Table1522[اجمالي])</f>
        <v>5180</v>
      </c>
      <c r="L28" s="274">
        <f>Table1522[[#Totals],[اجمالي]]/$G$87</f>
        <v>0.028553066045983067</v>
      </c>
    </row>
    <row r="29" ht="18.75" s="203" customFormat="1">
      <c r="C29" s="231"/>
      <c r="D29" s="629" t="s">
        <v>132</v>
      </c>
      <c r="E29" s="629"/>
      <c r="F29" s="629"/>
      <c r="G29" s="629"/>
      <c r="H29" s="629"/>
      <c r="I29" s="629"/>
    </row>
    <row r="30" ht="18.75" s="203" customFormat="1">
      <c r="A30" s="205" t="s">
        <v>61</v>
      </c>
      <c r="B30" s="205" t="s">
        <v>62</v>
      </c>
      <c r="C30" s="233" t="s">
        <v>63</v>
      </c>
      <c r="D30" s="205" t="s">
        <v>64</v>
      </c>
      <c r="E30" s="205" t="s">
        <v>43</v>
      </c>
      <c r="F30" s="205" t="s">
        <v>95</v>
      </c>
      <c r="G30" s="205" t="s">
        <v>66</v>
      </c>
      <c r="H30" s="205" t="s">
        <v>67</v>
      </c>
      <c r="I30" s="205" t="s">
        <v>110</v>
      </c>
      <c r="J30" s="205" t="s">
        <v>69</v>
      </c>
      <c r="K30" s="234" t="s">
        <v>70</v>
      </c>
      <c r="L30" s="205" t="s">
        <v>71</v>
      </c>
    </row>
    <row r="31" ht="18.75" s="203" customFormat="1">
      <c r="A31" s="205">
        <v>5</v>
      </c>
      <c r="B31" s="218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6</v>
      </c>
      <c r="C31" s="219" t="s">
        <v>134</v>
      </c>
      <c r="D31" s="204">
        <v>0.4</v>
      </c>
      <c r="E31" s="204">
        <v>0.4</v>
      </c>
      <c r="F31" s="227">
        <f>(Table1624[[#This Row],[Column1]]*Table1624[[#This Row],[Column2]])*2*Table1624[[#This Row],[عدد]]</f>
        <v>1.9200000000000004</v>
      </c>
      <c r="G31" s="228" t="s">
        <v>117</v>
      </c>
      <c r="H31" s="205">
        <v>14</v>
      </c>
      <c r="I31" s="205">
        <f ref="I31:I32" t="shared" si="7">$H$2/1000</f>
        <v>46</v>
      </c>
      <c r="J31" s="220">
        <f ref="J31:J32" t="shared" si="8">H31*$H$2/1000</f>
        <v>644</v>
      </c>
      <c r="K31" s="221">
        <f>B31*J31</f>
        <v>3864</v>
      </c>
      <c r="L31" s="222">
        <f>(K31)/$G$87</f>
        <v>0.021299043861327912</v>
      </c>
    </row>
    <row r="32" ht="18.75" s="203" customFormat="1">
      <c r="A32" s="205">
        <v>8</v>
      </c>
      <c r="B32" s="218">
        <f>B31*4</f>
        <v>24</v>
      </c>
      <c r="C32" s="219" t="s">
        <v>135</v>
      </c>
      <c r="D32" s="204">
        <v>0.1</v>
      </c>
      <c r="E32" s="204">
        <v>0.1</v>
      </c>
      <c r="F32" s="227">
        <f>(Table1624[[#This Row],[Column1]]*Table1624[[#This Row],[Column2]])*Table1624[[#This Row],[عدد]]</f>
        <v>0.24000000000000005</v>
      </c>
      <c r="G32" s="205" t="s">
        <v>117</v>
      </c>
      <c r="H32" s="205">
        <v>1.5</v>
      </c>
      <c r="I32" s="205">
        <f t="shared" si="7"/>
        <v>46</v>
      </c>
      <c r="J32" s="220">
        <f t="shared" si="8"/>
        <v>69</v>
      </c>
      <c r="K32" s="221">
        <f>B32*J32</f>
        <v>1656</v>
      </c>
      <c r="L32" s="253">
        <f>(K32)/$G$87</f>
        <v>0.0091281616548548189</v>
      </c>
    </row>
    <row r="33" ht="18.75" s="203" customFormat="1">
      <c r="A33" s="205" t="s">
        <v>88</v>
      </c>
      <c r="B33" s="218">
        <f>SUBTOTAL(103,Table1624[عدد])</f>
        <v>2</v>
      </c>
      <c r="C33" s="219" t="s">
        <v>88</v>
      </c>
      <c r="D33" s="204"/>
      <c r="E33" s="204"/>
      <c r="F33" s="203">
        <f>SUBTOTAL(109,Table1624[Column12])</f>
        <v>2.1600000000000006</v>
      </c>
      <c r="G33" s="205"/>
      <c r="H33" s="205">
        <f>H31*B31+H32*B32</f>
        <v>120</v>
      </c>
      <c r="I33" s="205"/>
      <c r="J33" s="226"/>
      <c r="K33" s="221">
        <f>SUBTOTAL(109,Table1624[اجمالي])</f>
        <v>5520</v>
      </c>
      <c r="L33" s="243">
        <f>Table1624[[#Totals],[اجمالي]]/$G$87</f>
        <v>0.030427205516182727</v>
      </c>
    </row>
    <row r="34" ht="18.75" s="203" customFormat="1">
      <c r="C34" s="231"/>
      <c r="D34" s="629" t="s">
        <v>136</v>
      </c>
      <c r="E34" s="629"/>
      <c r="F34" s="629"/>
      <c r="G34" s="629"/>
      <c r="H34" s="629"/>
      <c r="I34" s="629"/>
    </row>
    <row r="35" ht="18.75" s="203" customFormat="1">
      <c r="A35" s="205" t="s">
        <v>61</v>
      </c>
      <c r="B35" s="205" t="s">
        <v>62</v>
      </c>
      <c r="C35" s="233" t="s">
        <v>63</v>
      </c>
      <c r="D35" s="205" t="s">
        <v>64</v>
      </c>
      <c r="E35" s="205" t="s">
        <v>43</v>
      </c>
      <c r="F35" s="205" t="s">
        <v>95</v>
      </c>
      <c r="G35" s="205" t="s">
        <v>66</v>
      </c>
      <c r="H35" s="205" t="s">
        <v>67</v>
      </c>
      <c r="I35" s="205" t="s">
        <v>110</v>
      </c>
      <c r="J35" s="205" t="s">
        <v>69</v>
      </c>
      <c r="K35" s="234" t="s">
        <v>70</v>
      </c>
      <c r="L35" s="205" t="s">
        <v>71</v>
      </c>
    </row>
    <row r="36" ht="18.75" s="203" customFormat="1">
      <c r="A36" s="205">
        <v>1</v>
      </c>
      <c r="B36" s="255">
        <f>AB7/3</f>
        <v>2.3333333333333335</v>
      </c>
      <c r="C36" s="219" t="s">
        <v>144</v>
      </c>
      <c r="D36" s="204"/>
      <c r="E36" s="204"/>
      <c r="F36" s="204"/>
      <c r="G36" s="205" t="s">
        <v>145</v>
      </c>
      <c r="H36" s="205"/>
      <c r="I36" s="205"/>
      <c r="J36" s="235">
        <f>Sheet2!B24</f>
        <v>200</v>
      </c>
      <c r="K36" s="221">
        <f ref="K36:K44" t="shared" si="10">B36*J36</f>
        <v>466.66666666666669</v>
      </c>
      <c r="L36" s="222">
        <f ref="L36:L52" t="shared" si="11">(K36)/$G$87</f>
        <v>0.0025723482924309071</v>
      </c>
    </row>
    <row r="37" ht="18.75" s="203" customFormat="1">
      <c r="A37" s="205">
        <v>7</v>
      </c>
      <c r="B37" s="255">
        <f>AB6/2</f>
        <v>3.375</v>
      </c>
      <c r="C37" s="219" t="s">
        <v>79</v>
      </c>
      <c r="D37" s="204"/>
      <c r="E37" s="204"/>
      <c r="F37" s="204"/>
      <c r="G37" s="205" t="s">
        <v>146</v>
      </c>
      <c r="H37" s="205"/>
      <c r="I37" s="205"/>
      <c r="J37" s="235">
        <f>Sheet2!B25</f>
        <v>80</v>
      </c>
      <c r="K37" s="221">
        <f>B37*J37</f>
        <v>270</v>
      </c>
      <c r="L37" s="222">
        <f t="shared" si="11"/>
        <v>0.0014882872263350248</v>
      </c>
    </row>
    <row r="38" ht="18.75" s="203" customFormat="1">
      <c r="A38" s="205">
        <v>8</v>
      </c>
      <c r="B38" s="255">
        <f>AB5</f>
        <v>11</v>
      </c>
      <c r="C38" s="219" t="s">
        <v>147</v>
      </c>
      <c r="D38" s="204"/>
      <c r="E38" s="204"/>
      <c r="F38" s="204"/>
      <c r="G38" s="205" t="s">
        <v>117</v>
      </c>
      <c r="H38" s="205"/>
      <c r="I38" s="205"/>
      <c r="J38" s="235">
        <f>Sheet2!B26</f>
        <v>130</v>
      </c>
      <c r="K38" s="221">
        <f>B38*J38</f>
        <v>1430</v>
      </c>
      <c r="L38" s="222">
        <f t="shared" si="11"/>
        <v>0.0078824101246632791</v>
      </c>
    </row>
    <row r="39" ht="18.75" s="203" customFormat="1">
      <c r="A39" s="205">
        <v>9</v>
      </c>
      <c r="B39" s="255">
        <f>AB8</f>
        <v>11</v>
      </c>
      <c r="C39" s="219" t="s">
        <v>148</v>
      </c>
      <c r="D39" s="204"/>
      <c r="E39" s="204"/>
      <c r="F39" s="204"/>
      <c r="G39" s="205" t="s">
        <v>117</v>
      </c>
      <c r="H39" s="205"/>
      <c r="I39" s="205"/>
      <c r="J39" s="235">
        <f>Sheet2!B27</f>
        <v>400</v>
      </c>
      <c r="K39" s="221">
        <f>B39*J39</f>
        <v>4400</v>
      </c>
      <c r="L39" s="222">
        <f t="shared" si="11"/>
        <v>0.024253569614348554</v>
      </c>
    </row>
    <row r="40" ht="18.75" s="203" customFormat="1">
      <c r="A40" s="205">
        <v>2</v>
      </c>
      <c r="B40" s="201">
        <v>5</v>
      </c>
      <c r="C40" s="233" t="s">
        <v>137</v>
      </c>
      <c r="D40" s="205"/>
      <c r="E40" s="205"/>
      <c r="F40" s="205"/>
      <c r="G40" s="205" t="s">
        <v>138</v>
      </c>
      <c r="H40" s="205"/>
      <c r="I40" s="205"/>
      <c r="J40" s="235">
        <v>15</v>
      </c>
      <c r="K40" s="221">
        <f t="shared" si="10"/>
        <v>75</v>
      </c>
      <c r="L40" s="222">
        <f t="shared" si="11"/>
        <v>0.00041341311842639576</v>
      </c>
    </row>
    <row r="41" ht="18.75" s="203" customFormat="1">
      <c r="A41" s="205">
        <v>3</v>
      </c>
      <c r="B41" s="218">
        <v>5</v>
      </c>
      <c r="C41" s="233" t="s">
        <v>139</v>
      </c>
      <c r="D41" s="205"/>
      <c r="E41" s="205"/>
      <c r="F41" s="205"/>
      <c r="G41" s="205" t="s">
        <v>138</v>
      </c>
      <c r="H41" s="205"/>
      <c r="I41" s="205"/>
      <c r="J41" s="235">
        <v>15</v>
      </c>
      <c r="K41" s="221">
        <f t="shared" si="10"/>
        <v>75</v>
      </c>
      <c r="L41" s="222">
        <f t="shared" si="11"/>
        <v>0.00041341311842639576</v>
      </c>
    </row>
    <row r="42" ht="18.75" s="203" customFormat="1">
      <c r="A42" s="205">
        <v>4</v>
      </c>
      <c r="B42" s="201">
        <v>10</v>
      </c>
      <c r="C42" s="219" t="s">
        <v>140</v>
      </c>
      <c r="D42" s="204"/>
      <c r="E42" s="204"/>
      <c r="F42" s="204"/>
      <c r="G42" s="205" t="s">
        <v>141</v>
      </c>
      <c r="H42" s="205"/>
      <c r="I42" s="205"/>
      <c r="J42" s="235">
        <v>25</v>
      </c>
      <c r="K42" s="221">
        <f t="shared" si="10"/>
        <v>250</v>
      </c>
      <c r="L42" s="222">
        <f t="shared" si="11"/>
        <v>0.001378043728087986</v>
      </c>
    </row>
    <row r="43" ht="18.75" s="203" customFormat="1">
      <c r="A43" s="205">
        <v>5</v>
      </c>
      <c r="B43" s="218">
        <v>5</v>
      </c>
      <c r="C43" s="219" t="s">
        <v>142</v>
      </c>
      <c r="D43" s="204"/>
      <c r="E43" s="204"/>
      <c r="F43" s="204"/>
      <c r="G43" s="205" t="s">
        <v>141</v>
      </c>
      <c r="H43" s="205"/>
      <c r="I43" s="205"/>
      <c r="J43" s="235">
        <v>150</v>
      </c>
      <c r="K43" s="221">
        <f t="shared" si="10"/>
        <v>750</v>
      </c>
      <c r="L43" s="222">
        <f t="shared" si="11"/>
        <v>0.0041341311842639575</v>
      </c>
    </row>
    <row r="44" ht="18.75" s="203" customFormat="1">
      <c r="A44" s="205">
        <v>6</v>
      </c>
      <c r="B44" s="201">
        <v>5</v>
      </c>
      <c r="C44" s="219" t="s">
        <v>143</v>
      </c>
      <c r="D44" s="204"/>
      <c r="E44" s="204"/>
      <c r="F44" s="204"/>
      <c r="G44" s="205" t="s">
        <v>117</v>
      </c>
      <c r="H44" s="205"/>
      <c r="I44" s="205"/>
      <c r="J44" s="235">
        <v>40</v>
      </c>
      <c r="K44" s="221">
        <f t="shared" si="10"/>
        <v>200</v>
      </c>
      <c r="L44" s="222">
        <f t="shared" si="11"/>
        <v>0.0011024349824703887</v>
      </c>
    </row>
    <row r="45" ht="18.75" s="203" customFormat="1">
      <c r="A45" s="205">
        <v>10</v>
      </c>
      <c r="B45" s="218"/>
      <c r="C45" s="219"/>
      <c r="D45" s="204"/>
      <c r="E45" s="204"/>
      <c r="F45" s="204"/>
      <c r="G45" s="205"/>
      <c r="H45" s="205"/>
      <c r="I45" s="205"/>
      <c r="J45" s="235"/>
      <c r="K45" s="221">
        <f>B45*J45</f>
        <v>0</v>
      </c>
      <c r="L45" s="253">
        <f t="shared" si="11"/>
        <v>0</v>
      </c>
    </row>
    <row r="46" ht="18.75" s="203" customFormat="1">
      <c r="A46" s="205">
        <v>11</v>
      </c>
      <c r="B46" s="218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9" t="s">
        <v>94</v>
      </c>
      <c r="D46" s="204"/>
      <c r="E46" s="204"/>
      <c r="F46" s="204"/>
      <c r="G46" s="205" t="s">
        <v>150</v>
      </c>
      <c r="H46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35">
        <f>Sheet2!B18</f>
        <v>300</v>
      </c>
      <c r="J46" s="362"/>
      <c r="K46" s="221">
        <f>B46*Table1319[[#This Row],[سعر الكيلو]]</f>
        <v>0</v>
      </c>
      <c r="L46" s="253">
        <f t="shared" si="11"/>
        <v>0</v>
      </c>
    </row>
    <row r="47" ht="18.75" s="203" customFormat="1">
      <c r="A47" s="205">
        <v>12</v>
      </c>
      <c r="B47" s="218">
        <f>IF(AND((AB12&gt;0),(AB12&lt;=5)),5,IF(AND((AB12&gt;5),(AB12&lt;=10)),10,IF(AND((AB12&gt;10),(AB12&lt;=15)),15,IF(AND((AB12&gt;15),(AB12&lt;=20)),20,IF(AND((AB12&gt;20),(AB12&lt;=25)),25,IF(AND((AB12&gt;25),(AB12&lt;=30)),30,IF(AND((AB12&gt;30),(AB12&lt;=35)),35,IF(AND((AB12&gt;35),(AB12&lt;=40)),40,IF(AND((AB12&gt;40),(AB12&lt;=45)),45,IF(AND((AB12&gt;45),(AB12&lt;=50)),50,IF(AND((AB12&gt;50),(AB12&lt;=55)),55,IF(AND((AB12&gt;55),(AB12&lt;=60)),60,0))))))))))))</f>
        <v>0</v>
      </c>
      <c r="C47" s="233" t="s">
        <v>97</v>
      </c>
      <c r="D47" s="204"/>
      <c r="E47" s="204"/>
      <c r="F47" s="204"/>
      <c r="G47" s="233" t="s">
        <v>151</v>
      </c>
      <c r="H47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35">
        <f>Sheet2!B19</f>
        <v>250</v>
      </c>
      <c r="J47" s="362"/>
      <c r="K47" s="221">
        <f>B47*Table1319[[#This Row],[سعر الكيلو]]</f>
        <v>0</v>
      </c>
      <c r="L47" s="253">
        <f t="shared" si="11"/>
        <v>0</v>
      </c>
    </row>
    <row r="48" ht="18.75" s="203" customFormat="1">
      <c r="A48" s="205">
        <v>13</v>
      </c>
      <c r="B48" s="218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8" s="233" t="s">
        <v>101</v>
      </c>
      <c r="D48" s="204"/>
      <c r="E48" s="204"/>
      <c r="F48" s="204"/>
      <c r="G48" s="233" t="s">
        <v>152</v>
      </c>
      <c r="H48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8" s="235">
        <f>Sheet2!B20</f>
        <v>375</v>
      </c>
      <c r="J48" s="362"/>
      <c r="K48" s="221">
        <f>B48*Table1319[[#This Row],[سعر الكيلو]]</f>
        <v>0</v>
      </c>
      <c r="L48" s="253">
        <f t="shared" si="11"/>
        <v>0</v>
      </c>
    </row>
    <row r="49" ht="18.75" s="203" customFormat="1">
      <c r="A49" s="205">
        <v>14</v>
      </c>
      <c r="B49" s="218">
        <f>IF(AND((AB14&gt;0),(AB14&lt;=5)),5,IF(AND((AB14&gt;5),(AB14&lt;=10)),10,IF(AND((AB14&gt;10),(AB14&lt;=15)),15,IF(AND((AB14&gt;15),(AB14&lt;=20)),20,IF(AND((AB14&gt;20),(AB14&lt;=25)),25,IF(AND((AB14&gt;25),(AB14&lt;=30)),30,IF(AND((AB14&gt;30),(AB14&lt;=35)),35,IF(AND((AB14&gt;35),(AB14&lt;=40)),40,IF(AND((AB14&gt;40),(AB14&lt;=45)),45,IF(AND((AB14&gt;45),(AB14&lt;=50)),50,IF(AND((AB14&gt;50),(AB14&lt;=55)),55,IF(AND((AB14&gt;55),(AB14&lt;=60)),60,0))))))))))))</f>
        <v>0</v>
      </c>
      <c r="C49" s="233" t="s">
        <v>104</v>
      </c>
      <c r="D49" s="204"/>
      <c r="E49" s="204"/>
      <c r="F49" s="204"/>
      <c r="G49" s="233" t="s">
        <v>152</v>
      </c>
      <c r="H49" s="205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9" s="235">
        <f>Sheet2!B21</f>
        <v>455</v>
      </c>
      <c r="J49" s="362"/>
      <c r="K49" s="221">
        <f>B49*Table1319[[#This Row],[سعر الكيلو]]</f>
        <v>0</v>
      </c>
      <c r="L49" s="253">
        <f t="shared" si="11"/>
        <v>0</v>
      </c>
    </row>
    <row r="50" ht="18.75" s="203" customFormat="1">
      <c r="A50" s="205">
        <v>15</v>
      </c>
      <c r="B50" s="218"/>
      <c r="C50" s="233" t="s">
        <v>106</v>
      </c>
      <c r="D50" s="204"/>
      <c r="E50" s="204"/>
      <c r="F50" s="204"/>
      <c r="G50" s="233" t="s">
        <v>309</v>
      </c>
      <c r="H50" s="205">
        <f>IF(AND((Table1319[[#This Row],[عدد]]&gt;0),(Table1319[[#This Row],[عدد]]&lt;=10)),"جالون",IF(AND((Table1319[[#This Row],[عدد]]&gt;10),(Table1319[[#This Row],[عدد]]&lt;=20)),"2جالون",IF(AND((Table1319[[#This Row],[عدد]]&gt;20),(Table1319[[#This Row],[عدد]]&lt;=30)),"3",IF(AND((Table1319[[#This Row],[عدد]]&gt;30),(Table1319[[#This Row],[عدد]]&lt;=40)),"4",IF(AND((Table1319[[#This Row],[عدد]]&gt;40),(Table1319[[#This Row],[عدد]]&lt;=50)),"5",IF(AND((Table1319[[#This Row],[عدد]]&gt;50),(Table1319[[#This Row],[عدد]]&lt;=60)),"6",IF(AND((Table1319[[#This Row],[عدد]]&gt;60),(Table1319[[#This Row],[عدد]]&lt;=70)),"7",IF(AND((Table1319[[#This Row],[عدد]]&gt;70),(Table1319[[#This Row],[عدد]]&lt;=80)),"8",0))))))))</f>
        <v>0</v>
      </c>
      <c r="I50" s="427"/>
      <c r="J50" s="362"/>
      <c r="K50" s="221">
        <f>B50*Table1319[[#This Row],[سعر الكيلو]]</f>
        <v>0</v>
      </c>
      <c r="L50" s="253">
        <f t="shared" si="11"/>
        <v>0</v>
      </c>
    </row>
    <row r="51" ht="18.75" s="203" customFormat="1">
      <c r="A51" s="205">
        <v>16</v>
      </c>
      <c r="B51" s="218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51" s="233" t="s">
        <v>109</v>
      </c>
      <c r="D51" s="204"/>
      <c r="E51" s="204"/>
      <c r="F51" s="204"/>
      <c r="G51" s="233" t="s">
        <v>153</v>
      </c>
      <c r="H51" s="205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51" s="434">
        <f>Sheet2!B22</f>
        <v>135</v>
      </c>
      <c r="J51" s="362"/>
      <c r="K51" s="221">
        <f>B51*Table1319[[#This Row],[سعر الكيلو]]</f>
        <v>0</v>
      </c>
      <c r="L51" s="253">
        <f t="shared" si="11"/>
        <v>0</v>
      </c>
    </row>
    <row r="52" ht="18.75" s="203" customFormat="1">
      <c r="A52" s="205">
        <v>17</v>
      </c>
      <c r="B52" s="218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52" s="233" t="s">
        <v>112</v>
      </c>
      <c r="D52" s="204"/>
      <c r="E52" s="204"/>
      <c r="F52" s="204"/>
      <c r="G52" s="233" t="s">
        <v>153</v>
      </c>
      <c r="H52" s="205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52" s="235">
        <f>Sheet2!B23</f>
        <v>130</v>
      </c>
      <c r="J52" s="362"/>
      <c r="K52" s="221">
        <f>B52*Table1319[[#This Row],[سعر الكيلو]]</f>
        <v>0</v>
      </c>
      <c r="L52" s="253">
        <f t="shared" si="11"/>
        <v>0</v>
      </c>
    </row>
    <row r="53" ht="18.75" s="203" customFormat="1">
      <c r="A53" s="427" t="s">
        <v>88</v>
      </c>
      <c r="B53" s="428"/>
      <c r="C53" s="429" t="s">
        <v>88</v>
      </c>
      <c r="D53" s="430"/>
      <c r="E53" s="430"/>
      <c r="F53" s="430"/>
      <c r="G53" s="427" t="s">
        <v>154</v>
      </c>
      <c r="H53" s="427"/>
      <c r="I53" s="427"/>
      <c r="J53" s="431"/>
      <c r="K53" s="432">
        <f>SUBTOTAL(109,Table1319[اجمالي])</f>
        <v>7916.666666666667</v>
      </c>
      <c r="L53" s="433">
        <f>Table1319[[#Totals],[اجمالي]]/$G$87</f>
        <v>0.043638051389452891</v>
      </c>
    </row>
    <row r="54" ht="18.75" s="203" customFormat="1">
      <c r="A54" s="205"/>
      <c r="B54" s="218"/>
      <c r="C54" s="219"/>
      <c r="D54" s="204"/>
      <c r="E54" s="204"/>
      <c r="F54" s="204"/>
      <c r="G54" s="205"/>
      <c r="H54" s="205"/>
      <c r="I54" s="205"/>
      <c r="J54" s="226"/>
      <c r="K54" s="221"/>
      <c r="L54" s="243"/>
    </row>
    <row r="55" ht="18.75" s="203" customFormat="1">
      <c r="C55" s="231"/>
      <c r="D55" s="629" t="s">
        <v>155</v>
      </c>
      <c r="E55" s="629"/>
      <c r="F55" s="629"/>
      <c r="G55" s="629"/>
      <c r="H55" s="629"/>
      <c r="I55" s="629"/>
    </row>
    <row r="56" ht="18.75" s="203" customFormat="1">
      <c r="A56" s="205" t="s">
        <v>61</v>
      </c>
      <c r="B56" s="205" t="s">
        <v>62</v>
      </c>
      <c r="C56" s="233" t="s">
        <v>63</v>
      </c>
      <c r="D56" s="205" t="s">
        <v>64</v>
      </c>
      <c r="E56" s="205" t="s">
        <v>43</v>
      </c>
      <c r="F56" s="205" t="s">
        <v>95</v>
      </c>
      <c r="G56" s="205" t="s">
        <v>66</v>
      </c>
      <c r="H56" s="205" t="s">
        <v>67</v>
      </c>
      <c r="I56" s="205" t="s">
        <v>110</v>
      </c>
      <c r="J56" s="205" t="s">
        <v>69</v>
      </c>
      <c r="K56" s="234" t="s">
        <v>70</v>
      </c>
      <c r="L56" s="205" t="s">
        <v>71</v>
      </c>
    </row>
    <row r="57" ht="18.75" s="203" customFormat="1">
      <c r="A57" s="205">
        <v>2</v>
      </c>
      <c r="B57" s="201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7" s="204" t="s">
        <v>156</v>
      </c>
      <c r="D57" s="204"/>
      <c r="E57" s="204"/>
      <c r="F57" s="204"/>
      <c r="G57" s="236" t="s">
        <v>77</v>
      </c>
      <c r="H57" s="205">
        <v>1.75</v>
      </c>
      <c r="I57" s="230">
        <f>J2/1000</f>
        <v>152</v>
      </c>
      <c r="J57" s="237">
        <f>Table161027[[#This Row],[سعر الكيلو]]*Table161027[[#This Row],[الوزن]]</f>
        <v>266</v>
      </c>
      <c r="K57" s="221">
        <f ref="K57:K58" t="shared" si="14">B57*J57</f>
        <v>1064</v>
      </c>
      <c r="L57" s="222">
        <f>(Table161027[[#This Row],[اجمالي]])/$G$87</f>
        <v>0.0058649541067424676</v>
      </c>
    </row>
    <row r="58" ht="18.75" s="203" customFormat="1">
      <c r="A58" s="205">
        <v>4</v>
      </c>
      <c r="B58" s="201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8" s="204" t="s">
        <v>157</v>
      </c>
      <c r="D58" s="204"/>
      <c r="E58" s="204"/>
      <c r="F58" s="204"/>
      <c r="G58" s="236" t="s">
        <v>158</v>
      </c>
      <c r="H58" s="205"/>
      <c r="I58" s="230"/>
      <c r="J58" s="237">
        <f>Sheet2!B32</f>
        <v>4500</v>
      </c>
      <c r="K58" s="221">
        <f t="shared" si="14"/>
        <v>18000</v>
      </c>
      <c r="L58" s="222">
        <f>(Table161027[[#This Row],[اجمالي]])/$G$87</f>
        <v>0.09921914842233498</v>
      </c>
    </row>
    <row r="59" ht="18.75" s="203" customFormat="1">
      <c r="A59" s="205" t="s">
        <v>88</v>
      </c>
      <c r="B59" s="201"/>
      <c r="C59" s="204" t="s">
        <v>88</v>
      </c>
      <c r="D59" s="204"/>
      <c r="E59" s="204"/>
      <c r="F59" s="204">
        <f>SUBTOTAL(109,Table161027[Column12])</f>
        <v>0</v>
      </c>
      <c r="G59" s="238"/>
      <c r="H59" s="205"/>
      <c r="I59" s="230"/>
      <c r="J59" s="237"/>
      <c r="K59" s="221">
        <f>SUBTOTAL(109,Table161027[اجمالي])</f>
        <v>19064</v>
      </c>
      <c r="L59" s="222">
        <f>Table161027[[#Totals],[اجمالي]]/$G$87</f>
        <v>0.10508410252907745</v>
      </c>
    </row>
    <row r="60" ht="18.75" s="203" customFormat="1">
      <c r="C60" s="231"/>
      <c r="D60" s="629" t="s">
        <v>159</v>
      </c>
      <c r="E60" s="629"/>
      <c r="F60" s="629"/>
      <c r="G60" s="629"/>
      <c r="H60" s="629"/>
      <c r="I60" s="629"/>
    </row>
    <row r="61" ht="18.75" s="203" customFormat="1">
      <c r="A61" s="205" t="s">
        <v>61</v>
      </c>
      <c r="B61" s="205" t="s">
        <v>62</v>
      </c>
      <c r="C61" s="204" t="s">
        <v>160</v>
      </c>
      <c r="D61" s="205" t="s">
        <v>95</v>
      </c>
      <c r="E61" s="205" t="s">
        <v>43</v>
      </c>
      <c r="F61" s="202" t="s">
        <v>9</v>
      </c>
      <c r="G61" s="203" t="s">
        <v>161</v>
      </c>
      <c r="H61" s="239" t="s">
        <v>162</v>
      </c>
      <c r="I61" s="205" t="s">
        <v>64</v>
      </c>
      <c r="J61" s="205" t="s">
        <v>163</v>
      </c>
      <c r="K61" s="234" t="s">
        <v>70</v>
      </c>
      <c r="L61" s="205" t="s">
        <v>71</v>
      </c>
    </row>
    <row r="62" ht="18.75" s="203" customFormat="1">
      <c r="A62" s="205">
        <v>1</v>
      </c>
      <c r="B62" s="201">
        <v>1</v>
      </c>
      <c r="C62" s="204" t="s">
        <v>164</v>
      </c>
      <c r="D62" s="204"/>
      <c r="E62" s="205"/>
      <c r="F62" s="204"/>
      <c r="G62" s="204"/>
      <c r="H62" s="236">
        <f>'Cutting Ro-2'!$O$7</f>
        <v>1809.8108561903614</v>
      </c>
      <c r="I62" s="230"/>
      <c r="J62" s="237">
        <f>IF((Table161128[[#This Row],[عدد]]&gt;0),'Cutting Ro-2'!O8,0)</f>
        <v>72392.434247614452</v>
      </c>
      <c r="K62" s="221">
        <f>Table161128[[#This Row],[عدد]]*Table161128[[#This Row],[سعر البرجولا كاملة]]</f>
        <v>72392.434247614452</v>
      </c>
      <c r="L62" s="222">
        <f>(K62)/$G$87</f>
        <v>0.39903975990378804</v>
      </c>
    </row>
    <row r="63" ht="18.75" s="203" customFormat="1">
      <c r="A63" s="205">
        <v>4</v>
      </c>
      <c r="B63" s="218">
        <f>IF((F83="الاسكندرية"),0.25,0.1)</f>
        <v>0.1</v>
      </c>
      <c r="C63" s="219" t="s">
        <v>165</v>
      </c>
      <c r="D63" s="204"/>
      <c r="E63" s="205"/>
      <c r="G63" s="204"/>
      <c r="H63" s="205"/>
      <c r="I63" s="230"/>
      <c r="J63" s="235">
        <f>K62</f>
        <v>72392.434247614452</v>
      </c>
      <c r="K63" s="221">
        <f>Table161128[[#This Row],[عدد]]*Table161128[[#This Row],[سعر البرجولا كاملة]]</f>
        <v>7239.2434247614456</v>
      </c>
      <c r="L63" s="268">
        <f>(K63)/$G$87</f>
        <v>0.039903975990378808</v>
      </c>
    </row>
    <row r="64" ht="18.75" s="203" customFormat="1">
      <c r="A64" s="266" t="s">
        <v>88</v>
      </c>
      <c r="B64" s="269"/>
      <c r="C64" s="270" t="s">
        <v>88</v>
      </c>
      <c r="D64" s="271">
        <f>SUBTOTAL(109,Table161128[Column12])</f>
        <v>0</v>
      </c>
      <c r="E64" s="266"/>
      <c r="F64" s="272"/>
      <c r="G64" s="272"/>
      <c r="H64" s="266"/>
      <c r="I64" s="266"/>
      <c r="J64" s="273"/>
      <c r="K64" s="267">
        <f>SUBTOTAL(109,Table161128[اجمالي])</f>
        <v>79631.6776723759</v>
      </c>
      <c r="L64" s="274">
        <f>Table161128[[#Totals],[اجمالي]]/$G$87</f>
        <v>0.43894373589416685</v>
      </c>
    </row>
    <row r="65" ht="18.75" s="203" customFormat="1">
      <c r="C65" s="231"/>
      <c r="D65" s="629" t="s">
        <v>310</v>
      </c>
      <c r="E65" s="629"/>
      <c r="F65" s="629"/>
      <c r="G65" s="629"/>
      <c r="H65" s="629"/>
      <c r="I65" s="629"/>
    </row>
    <row r="66" ht="18.75" s="203" customFormat="1">
      <c r="A66" s="205" t="s">
        <v>61</v>
      </c>
      <c r="B66" s="205" t="s">
        <v>62</v>
      </c>
      <c r="C66" s="233" t="s">
        <v>63</v>
      </c>
      <c r="D66" s="205" t="s">
        <v>64</v>
      </c>
      <c r="E66" s="205" t="s">
        <v>43</v>
      </c>
      <c r="F66" s="205" t="s">
        <v>95</v>
      </c>
      <c r="G66" s="205" t="s">
        <v>66</v>
      </c>
      <c r="H66" s="205" t="s">
        <v>67</v>
      </c>
      <c r="I66" s="205" t="s">
        <v>110</v>
      </c>
      <c r="J66" s="205" t="s">
        <v>69</v>
      </c>
      <c r="K66" s="234" t="s">
        <v>70</v>
      </c>
      <c r="L66" s="205" t="s">
        <v>71</v>
      </c>
    </row>
    <row r="67" ht="18.75" s="203" customFormat="1">
      <c r="A67" s="205">
        <v>1</v>
      </c>
      <c r="B67" s="201">
        <f>IF((تسعير!T25="b"),(Table118[[#Totals],[اجمالي الميزان]]+Table1624[[#Totals],[الوزن]]+Table1421[[#Totals],[الوزن]]),0)</f>
        <v>0</v>
      </c>
      <c r="C67" s="204" t="s">
        <v>149</v>
      </c>
      <c r="D67" s="204"/>
      <c r="E67" s="205"/>
      <c r="G67" s="230"/>
      <c r="H67" s="205"/>
      <c r="I67" s="230"/>
      <c r="J67" s="230">
        <v>15</v>
      </c>
      <c r="K67" s="221">
        <f>B67*Table161330[[#This Row],[سعر الشبك ]]</f>
        <v>0</v>
      </c>
      <c r="L67" s="222">
        <f>(K67)/$G$87</f>
        <v>0</v>
      </c>
    </row>
    <row r="68" ht="18.75" s="203" customFormat="1">
      <c r="A68" s="205" t="s">
        <v>88</v>
      </c>
      <c r="B68" s="218"/>
      <c r="C68" s="219" t="s">
        <v>88</v>
      </c>
      <c r="D68" s="204"/>
      <c r="E68" s="204"/>
      <c r="F68" s="203">
        <f>SUBTOTAL(109,Table161330[Column12])</f>
        <v>0</v>
      </c>
      <c r="G68" s="205"/>
      <c r="H68" s="205"/>
      <c r="I68" s="205"/>
      <c r="J68" s="226"/>
      <c r="K68" s="221">
        <f>SUBTOTAL(109,Table161330[اجمالي])</f>
        <v>0</v>
      </c>
      <c r="L68" s="222">
        <f>Table161330[[#Totals],[اجمالي]]/$G$87</f>
        <v>0</v>
      </c>
    </row>
    <row r="69" ht="18.75" s="203" customFormat="1">
      <c r="C69" s="231"/>
      <c r="D69" s="629" t="s">
        <v>166</v>
      </c>
      <c r="E69" s="629"/>
      <c r="F69" s="629"/>
      <c r="G69" s="629"/>
      <c r="H69" s="629"/>
      <c r="I69" s="629"/>
    </row>
    <row r="70" ht="18.75" s="203" customFormat="1">
      <c r="A70" s="205" t="s">
        <v>61</v>
      </c>
      <c r="B70" s="205" t="s">
        <v>62</v>
      </c>
      <c r="C70" s="233" t="s">
        <v>63</v>
      </c>
      <c r="D70" s="205" t="s">
        <v>167</v>
      </c>
      <c r="E70" s="205" t="s">
        <v>46</v>
      </c>
      <c r="F70" s="205" t="s">
        <v>168</v>
      </c>
      <c r="G70" s="205" t="s">
        <v>169</v>
      </c>
      <c r="H70" s="205" t="s">
        <v>95</v>
      </c>
      <c r="I70" s="205" t="s">
        <v>170</v>
      </c>
      <c r="J70" s="205" t="s">
        <v>171</v>
      </c>
      <c r="K70" s="234" t="s">
        <v>70</v>
      </c>
      <c r="L70" s="205" t="s">
        <v>71</v>
      </c>
    </row>
    <row r="71" ht="18.75" s="203" customFormat="1">
      <c r="A71" s="205">
        <v>1</v>
      </c>
      <c r="B71" s="201">
        <v>4</v>
      </c>
      <c r="C71" s="206" t="s">
        <v>172</v>
      </c>
      <c r="D71" s="205">
        <f>IF((Table161229[[#This Row],[موقع العمل]]="المصنع"),150,IF((Table161229[[#This Row],[موقع العمل]]="الاسكندرية"),160,200))</f>
        <v>150</v>
      </c>
      <c r="E71" s="205">
        <f>SUMIF(Table1731[Column1],Table161229[[#This Row],[موقع العمل]],$Q$2:$Q$34)</f>
        <v>0</v>
      </c>
      <c r="F71" s="205" t="s">
        <v>173</v>
      </c>
      <c r="G71" s="204" t="s">
        <v>73</v>
      </c>
      <c r="I71" s="369">
        <v>1.5</v>
      </c>
      <c r="J71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225</v>
      </c>
      <c r="K71" s="221">
        <f ref="K71:K83" t="shared" si="15">B71*J71</f>
        <v>900</v>
      </c>
      <c r="L71" s="222">
        <f ref="L71:L83" t="shared" si="16">(K71)/$G$87</f>
        <v>0.0049609574211167493</v>
      </c>
    </row>
    <row r="72" ht="18.75" s="203" customFormat="1">
      <c r="A72" s="205">
        <v>2</v>
      </c>
      <c r="B72" s="201">
        <v>3</v>
      </c>
      <c r="C72" s="206" t="s">
        <v>174</v>
      </c>
      <c r="D72" s="205">
        <f>IF((Table161229[[#This Row],[موقع العمل]]="المصنع"),150,IF((Table161229[[#This Row],[موقع العمل]]="الاسكندرية"),160,200))</f>
        <v>150</v>
      </c>
      <c r="E72" s="205">
        <f>SUMIF(Table1731[Column1],Table161229[[#This Row],[موقع العمل]],$Q$2:$Q$34)</f>
        <v>0</v>
      </c>
      <c r="F72" s="205" t="s">
        <v>173</v>
      </c>
      <c r="G72" s="204" t="s">
        <v>73</v>
      </c>
      <c r="I72" s="220">
        <v>1</v>
      </c>
      <c r="J72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</v>
      </c>
      <c r="K72" s="221">
        <f t="shared" si="15"/>
        <v>450</v>
      </c>
      <c r="L72" s="222">
        <f t="shared" si="16"/>
        <v>0.0024804787105583747</v>
      </c>
    </row>
    <row r="73" ht="18.75" s="203" customFormat="1">
      <c r="A73" s="205">
        <v>3</v>
      </c>
      <c r="B73" s="201">
        <v>3</v>
      </c>
      <c r="C73" s="206" t="s">
        <v>175</v>
      </c>
      <c r="D73" s="205">
        <f>IF((Table161229[[#This Row],[موقع العمل]]="المصنع"),150,IF((Table161229[[#This Row],[موقع العمل]]="الاسكندرية"),160,200))</f>
        <v>150</v>
      </c>
      <c r="E73" s="205">
        <f>SUMIF(Table1731[Column1],Table161229[[#This Row],[موقع العمل]],$Q$2:$Q$34)</f>
        <v>0</v>
      </c>
      <c r="F73" s="205" t="s">
        <v>173</v>
      </c>
      <c r="G73" s="204" t="s">
        <v>73</v>
      </c>
      <c r="I73" s="220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3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73" s="221">
        <f t="shared" si="15"/>
        <v>900</v>
      </c>
      <c r="L73" s="222">
        <f t="shared" si="16"/>
        <v>0.0049609574211167493</v>
      </c>
    </row>
    <row r="74" ht="18.75" s="203" customFormat="1">
      <c r="A74" s="205">
        <v>4</v>
      </c>
      <c r="B74" s="218">
        <v>3</v>
      </c>
      <c r="C74" s="206" t="s">
        <v>176</v>
      </c>
      <c r="D74" s="205">
        <f>IF((Table161229[[#This Row],[موقع العمل]]="المصنع"),150,IF((Table161229[[#This Row],[موقع العمل]]="الاسكندرية"),160,200))</f>
        <v>150</v>
      </c>
      <c r="E74" s="205">
        <f>SUMIF(Table1731[Column1],Table161229[[#This Row],[موقع العمل]],$Q$2:$Q$34)</f>
        <v>0</v>
      </c>
      <c r="F74" s="205" t="s">
        <v>173</v>
      </c>
      <c r="G74" s="204" t="s">
        <v>73</v>
      </c>
      <c r="I74" s="220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4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74" s="221">
        <f t="shared" si="15"/>
        <v>900</v>
      </c>
      <c r="L74" s="222">
        <f t="shared" si="16"/>
        <v>0.0049609574211167493</v>
      </c>
    </row>
    <row r="75" ht="18.75" s="203" customFormat="1">
      <c r="A75" s="205">
        <v>5</v>
      </c>
      <c r="B75" s="218">
        <v>4</v>
      </c>
      <c r="C75" s="206" t="s">
        <v>177</v>
      </c>
      <c r="D75" s="205">
        <f>IF((Table161229[[#This Row],[موقع العمل]]="المصنع"),150,IF((Table161229[[#This Row],[موقع العمل]]="الاسكندرية"),160,200))</f>
        <v>200</v>
      </c>
      <c r="E75" s="205">
        <f>SUMIF(Table1731[Column1],Table161229[[#This Row],[موقع العمل]],$Q$2:$Q$34)</f>
        <v>100</v>
      </c>
      <c r="F75" s="205" t="str">
        <f>تسعير!$T$24</f>
        <v>البحر الاحمر</v>
      </c>
      <c r="G75" s="204" t="s">
        <v>73</v>
      </c>
      <c r="I75" s="220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5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900</v>
      </c>
      <c r="K75" s="221">
        <f t="shared" si="15"/>
        <v>3600</v>
      </c>
      <c r="L75" s="222">
        <f t="shared" si="16"/>
        <v>0.019843829684466997</v>
      </c>
    </row>
    <row r="76" ht="18.75" s="203" customFormat="1">
      <c r="A76" s="205">
        <v>6</v>
      </c>
      <c r="B76" s="218">
        <v>3</v>
      </c>
      <c r="C76" s="206" t="s">
        <v>178</v>
      </c>
      <c r="D76" s="205">
        <f>IF((Table161229[[#This Row],[موقع العمل]]="المصنع"),150,IF((Table161229[[#This Row],[موقع العمل]]="الاسكندرية"),160,200))</f>
        <v>200</v>
      </c>
      <c r="E76" s="205">
        <f>SUMIF(Table1731[Column1],Table161229[[#This Row],[موقع العمل]],$Q$2:$Q$34)</f>
        <v>100</v>
      </c>
      <c r="F76" s="205" t="str">
        <f>تسعير!$T$24</f>
        <v>البحر الاحمر</v>
      </c>
      <c r="G76" s="204" t="s">
        <v>73</v>
      </c>
      <c r="I76" s="220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6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1200</v>
      </c>
      <c r="K76" s="221">
        <f t="shared" si="15"/>
        <v>3600</v>
      </c>
      <c r="L76" s="222">
        <f t="shared" si="16"/>
        <v>0.019843829684466997</v>
      </c>
    </row>
    <row r="77" ht="18.75" s="203" customFormat="1">
      <c r="A77" s="205">
        <v>7</v>
      </c>
      <c r="B77" s="218">
        <v>0</v>
      </c>
      <c r="C77" s="206" t="s">
        <v>179</v>
      </c>
      <c r="D77" s="205">
        <f>IF((Table161229[[#This Row],[موقع العمل]]="المصنع"),150,IF((Table161229[[#This Row],[موقع العمل]]="الاسكندرية"),160,200))</f>
        <v>200</v>
      </c>
      <c r="E77" s="205">
        <f>SUMIF(Table1731[Column1],Table161229[[#This Row],[موقع العمل]],$Q$2:$Q$34)</f>
        <v>100</v>
      </c>
      <c r="F77" s="205" t="str">
        <f>تسعير!$T$24</f>
        <v>البحر الاحمر</v>
      </c>
      <c r="G77" s="204" t="s">
        <v>73</v>
      </c>
      <c r="I77" s="220"/>
      <c r="J77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7" s="221">
        <f t="shared" si="15"/>
        <v>0</v>
      </c>
      <c r="L77" s="222">
        <f t="shared" si="16"/>
        <v>0</v>
      </c>
    </row>
    <row r="78" ht="18.75" s="203" customFormat="1">
      <c r="A78" s="205">
        <v>8</v>
      </c>
      <c r="B78" s="218">
        <v>4</v>
      </c>
      <c r="C78" s="206" t="s">
        <v>180</v>
      </c>
      <c r="D78" s="205">
        <f>IF((Table161229[[#This Row],[موقع العمل]]="المصنع"),150,IF((Table161229[[#This Row],[موقع العمل]]="الاسكندرية"),160,200))</f>
        <v>200</v>
      </c>
      <c r="E78" s="205">
        <f>SUMIF(Table1731[Column1],Table161229[[#This Row],[موقع العمل]],$Q$2:$Q$34)</f>
        <v>100</v>
      </c>
      <c r="F78" s="205" t="str">
        <f>تسعير!$T$24</f>
        <v>البحر الاحمر</v>
      </c>
      <c r="G78" s="204" t="s">
        <v>73</v>
      </c>
      <c r="I78" s="220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8" s="220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900</v>
      </c>
      <c r="K78" s="221">
        <f t="shared" si="15"/>
        <v>3600</v>
      </c>
      <c r="L78" s="222">
        <f t="shared" si="16"/>
        <v>0.019843829684466997</v>
      </c>
    </row>
    <row r="79" ht="18.75" s="203" customFormat="1">
      <c r="A79" s="205">
        <v>9</v>
      </c>
      <c r="B79" s="218">
        <f>(B75+B76+B77+B78)*2</f>
        <v>22</v>
      </c>
      <c r="C79" s="206" t="s">
        <v>181</v>
      </c>
      <c r="D79" s="205"/>
      <c r="E79" s="205"/>
      <c r="F79" s="205" t="str">
        <f>تسعير!$T$24</f>
        <v>البحر الاحمر</v>
      </c>
      <c r="G79" s="204"/>
      <c r="H79" s="230">
        <f>SUMIF(Table1731[Column1],Table161229[[#This Row],[موقع العمل]],$O$2:$O$34)</f>
        <v>500</v>
      </c>
      <c r="I79" s="230"/>
      <c r="J79" s="220">
        <f>Table161229[[#This Row],[Column12]]</f>
        <v>500</v>
      </c>
      <c r="K79" s="221">
        <f t="shared" si="15"/>
        <v>11000</v>
      </c>
      <c r="L79" s="222">
        <f t="shared" si="16"/>
        <v>0.060633924035871381</v>
      </c>
    </row>
    <row r="80" ht="18.75" s="203" customFormat="1">
      <c r="A80" s="205">
        <v>10</v>
      </c>
      <c r="B80" s="218">
        <f>((I75+I76+I77+I78)*2)-2</f>
        <v>18</v>
      </c>
      <c r="C80" s="206" t="s">
        <v>182</v>
      </c>
      <c r="D80" s="205"/>
      <c r="E80" s="205"/>
      <c r="F80" s="205" t="str">
        <f>تسعير!$T$24</f>
        <v>البحر الاحمر</v>
      </c>
      <c r="G80" s="204"/>
      <c r="H80" s="230">
        <f>SUMIF(Table1731[Column1],Table161229[[#This Row],[موقع العمل]],$P$2:$P$34)</f>
        <v>200</v>
      </c>
      <c r="I80" s="230"/>
      <c r="J80" s="220">
        <f>Table161229[[#This Row],[Column12]]</f>
        <v>200</v>
      </c>
      <c r="K80" s="221">
        <f t="shared" si="15"/>
        <v>3600</v>
      </c>
      <c r="L80" s="222">
        <f t="shared" si="16"/>
        <v>0.019843829684466997</v>
      </c>
    </row>
    <row r="81" ht="18.75">
      <c r="A81" s="205">
        <v>11</v>
      </c>
      <c r="B81" s="218">
        <v>2</v>
      </c>
      <c r="C81" s="206" t="s">
        <v>183</v>
      </c>
      <c r="D81" s="205"/>
      <c r="E81" s="205"/>
      <c r="F81" s="205" t="str">
        <f>تسعير!$T$24</f>
        <v>البحر الاحمر</v>
      </c>
      <c r="G81" s="204"/>
      <c r="H81" s="230">
        <f>SUMIF(Table1731[Column1],Table161229[[#This Row],[موقع العمل]],$R$2:$R$34)</f>
        <v>2500</v>
      </c>
      <c r="I81" s="230"/>
      <c r="J81" s="220">
        <f>Table161229[[#This Row],[Column12]]</f>
        <v>2500</v>
      </c>
      <c r="K81" s="221">
        <f t="shared" si="15"/>
        <v>5000</v>
      </c>
      <c r="L81" s="222">
        <f t="shared" si="16"/>
        <v>0.027560874561759718</v>
      </c>
    </row>
    <row r="82" ht="18.75">
      <c r="A82" s="205">
        <v>12</v>
      </c>
      <c r="B82" s="218">
        <v>1</v>
      </c>
      <c r="C82" s="206" t="s">
        <v>184</v>
      </c>
      <c r="D82" s="205"/>
      <c r="E82" s="205"/>
      <c r="F82" s="205" t="str">
        <f>تسعير!$T$24</f>
        <v>البحر الاحمر</v>
      </c>
      <c r="G82" s="204"/>
      <c r="H82" s="230">
        <f>SUMIF(Table1731[Column1],Table161229[[#This Row],[موقع العمل]],$S$2:$S$34)</f>
        <v>4000</v>
      </c>
      <c r="I82" s="230"/>
      <c r="J82" s="220">
        <f>Table161229[[#This Row],[Column12]]</f>
        <v>4000</v>
      </c>
      <c r="K82" s="221">
        <f t="shared" si="15"/>
        <v>4000</v>
      </c>
      <c r="L82" s="222">
        <f t="shared" si="16"/>
        <v>0.022048699649407776</v>
      </c>
    </row>
    <row r="83" ht="18.75">
      <c r="A83" s="205">
        <v>13</v>
      </c>
      <c r="B83" s="218">
        <f>B80</f>
        <v>18</v>
      </c>
      <c r="C83" s="206" t="s">
        <v>49</v>
      </c>
      <c r="D83" s="205"/>
      <c r="E83" s="205"/>
      <c r="F83" s="205" t="str">
        <f>تسعير!$T$24</f>
        <v>البحر الاحمر</v>
      </c>
      <c r="G83" s="204"/>
      <c r="H83" s="230">
        <f>SUMIF(Table1731[Column1],Table161229[[#This Row],[موقع العمل]],$T$2:$T$34)</f>
        <v>300</v>
      </c>
      <c r="I83" s="230"/>
      <c r="J83" s="220">
        <f>Table161229[[#This Row],[Column12]]</f>
        <v>300</v>
      </c>
      <c r="K83" s="221">
        <f t="shared" si="15"/>
        <v>5400</v>
      </c>
      <c r="L83" s="222">
        <f t="shared" si="16"/>
        <v>0.029765744526700496</v>
      </c>
    </row>
    <row r="84" ht="18.75">
      <c r="A84" s="266" t="s">
        <v>88</v>
      </c>
      <c r="B84" s="269"/>
      <c r="C84" s="270" t="s">
        <v>88</v>
      </c>
      <c r="D84" s="266"/>
      <c r="E84" s="266"/>
      <c r="F84" s="272"/>
      <c r="G84" s="272"/>
      <c r="H84" s="271">
        <f>SUBTOTAL(109,Table161229[Column12])</f>
        <v>7500</v>
      </c>
      <c r="I84" s="266"/>
      <c r="J84" s="273"/>
      <c r="K84" s="267">
        <f>SUBTOTAL(109,Table161229[اجمالي])</f>
        <v>42950</v>
      </c>
      <c r="L84" s="274">
        <f>Table161229[[#Totals],[اجمالي]]/$G$87</f>
        <v>0.236747912485516</v>
      </c>
    </row>
    <row r="85" ht="18.75">
      <c r="A85" s="203"/>
      <c r="B85" s="203"/>
      <c r="C85" s="231"/>
      <c r="D85" s="630"/>
      <c r="E85" s="630"/>
      <c r="F85" s="630"/>
      <c r="G85" s="630"/>
      <c r="H85" s="630"/>
      <c r="I85" s="630"/>
      <c r="J85" s="203"/>
      <c r="K85" s="203"/>
      <c r="L85" s="203"/>
    </row>
    <row r="86" ht="18.75">
      <c r="A86" s="205"/>
      <c r="B86" s="205"/>
      <c r="C86" s="233" t="s">
        <v>43</v>
      </c>
      <c r="D86" s="205" t="s">
        <v>185</v>
      </c>
      <c r="E86" s="205" t="s">
        <v>186</v>
      </c>
      <c r="F86" s="205" t="s">
        <v>133</v>
      </c>
      <c r="G86" s="205" t="s">
        <v>64</v>
      </c>
      <c r="H86" s="205"/>
      <c r="I86" s="205"/>
      <c r="J86" s="205"/>
      <c r="K86" s="234"/>
      <c r="L86" s="205"/>
    </row>
    <row r="87" ht="18.75">
      <c r="A87" s="205"/>
      <c r="B87" s="201"/>
      <c r="C87" s="219" t="s">
        <v>187</v>
      </c>
      <c r="D87" s="204"/>
      <c r="E87" s="205"/>
      <c r="F87" s="370"/>
      <c r="G87" s="25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181416.59433904255</v>
      </c>
      <c r="H87" s="205"/>
      <c r="I87" s="205"/>
      <c r="J87" s="220"/>
      <c r="K87" s="240"/>
      <c r="L87" s="241"/>
    </row>
    <row r="88" ht="18.75">
      <c r="A88" s="205"/>
      <c r="B88" s="218"/>
      <c r="C88" s="219" t="s">
        <v>188</v>
      </c>
      <c r="D88" s="204"/>
      <c r="E88" s="205"/>
      <c r="F88" s="242">
        <f>IF((F83="المقطم"),0.3,IF((F83="التجمع"),0.3,IF((F83="الشيخ زايد"),0.3,IF((F83="الاسكندرية"),0.5,IF((F77="الساحل"),0.5,0.35)))))</f>
        <v>0.35</v>
      </c>
      <c r="G88" s="251">
        <f>G87*(1+Table1832[[#This Row],[Column3]])</f>
        <v>244912.40235770747</v>
      </c>
      <c r="H88" s="205"/>
      <c r="I88" s="205"/>
      <c r="J88" s="220"/>
      <c r="K88" s="240"/>
      <c r="L88" s="241"/>
    </row>
    <row r="89" ht="18.75">
      <c r="A89" s="205"/>
      <c r="B89" s="201"/>
      <c r="H89" s="205"/>
      <c r="I89" s="205"/>
      <c r="J89" s="220"/>
      <c r="K89" s="240"/>
      <c r="L89" s="241"/>
    </row>
    <row r="90" ht="18.75">
      <c r="A90" s="205"/>
      <c r="B90" s="218"/>
      <c r="H90" s="205"/>
      <c r="I90" s="226"/>
      <c r="J90" s="220"/>
      <c r="K90" s="240"/>
      <c r="L90" s="241"/>
    </row>
    <row r="91" ht="18.75">
      <c r="A91" s="205"/>
      <c r="B91" s="201"/>
      <c r="H91" s="205"/>
      <c r="I91" s="226"/>
      <c r="J91" s="230"/>
      <c r="K91" s="240"/>
      <c r="L91" s="241"/>
    </row>
    <row r="92" ht="18.75">
      <c r="A92" s="205"/>
      <c r="B92" s="218"/>
      <c r="H92" s="205"/>
      <c r="I92" s="205"/>
      <c r="J92" s="226"/>
      <c r="K92" s="240"/>
      <c r="L92" s="203"/>
    </row>
  </sheetData>
  <sheetProtection selectLockedCells="1" selectUnlockedCells="1"/>
  <mergeCells>
    <mergeCell ref="D16:I16"/>
    <mergeCell ref="A1:C2"/>
    <mergeCell ref="A3:B3"/>
    <mergeCell ref="G3:I3"/>
    <mergeCell ref="D4:I4"/>
    <mergeCell ref="D11:I11"/>
    <mergeCell ref="D85:I85"/>
    <mergeCell ref="D29:I29"/>
    <mergeCell ref="D34:I34"/>
    <mergeCell ref="D55:I55"/>
    <mergeCell ref="D60:I60"/>
    <mergeCell ref="D65:I65"/>
    <mergeCell ref="D69:I69"/>
  </mergeCells>
  <dataValidations count="2">
    <dataValidation type="list" allowBlank="1" showInputMessage="1" showErrorMessage="1" sqref="F75:F83" xr:uid="{411FD01F-8E64-47F7-99A0-CC0A7EB0456C}">
      <formula1>$N$2:$N$28</formula1>
    </dataValidation>
    <dataValidation type="list" allowBlank="1" showInputMessage="1" showErrorMessage="1" sqref="G71:G83" xr:uid="{E3F7F3AB-4C1F-4892-BDF5-72614DB77161}">
      <formula1>$U$4:$U$5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C41" zoomScale="40" zoomScaleNormal="40" workbookViewId="0">
      <selection activeCell="M75" sqref="M75"/>
    </sheetView>
  </sheetViews>
  <sheetFormatPr defaultColWidth="9.140625" defaultRowHeight="15"/>
  <cols>
    <col min="1" max="1" width="11.28515625" customWidth="1" style="275"/>
    <col min="2" max="2" width="11.5703125" customWidth="1" style="275"/>
    <col min="3" max="3" width="42.42578125" customWidth="1" style="275"/>
    <col min="4" max="4" width="11.5703125" customWidth="1" style="275"/>
    <col min="5" max="5" bestFit="1" width="16.28515625" customWidth="1" style="276"/>
    <col min="6" max="6" bestFit="1" width="15.85546875" customWidth="1" style="275"/>
    <col min="7" max="7" width="11.5703125" customWidth="1" style="275"/>
    <col min="8" max="8" bestFit="1" width="20.7109375" customWidth="1" style="275"/>
    <col min="9" max="9" bestFit="1" width="16.42578125" customWidth="1" style="275"/>
    <col min="10" max="10" width="30" customWidth="1" style="275"/>
    <col min="11" max="11" width="16" customWidth="1" style="275"/>
    <col min="12" max="12" width="16" customWidth="1"/>
    <col min="13" max="13" width="20.14062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3"/>
      <c r="B1" s="314"/>
      <c r="C1" s="314"/>
      <c r="D1" s="314"/>
      <c r="E1" s="315"/>
      <c r="F1" s="314"/>
      <c r="G1" s="314"/>
      <c r="H1" s="314"/>
      <c r="I1" s="314"/>
      <c r="J1" s="314"/>
      <c r="K1" s="314"/>
      <c r="L1" s="300"/>
      <c r="M1" s="300"/>
      <c r="N1" s="300"/>
      <c r="O1" s="300"/>
      <c r="P1" s="301"/>
      <c r="R1" s="299"/>
      <c r="S1" s="314"/>
      <c r="T1" s="314"/>
      <c r="U1" s="314"/>
      <c r="V1" s="315"/>
      <c r="W1" s="314"/>
      <c r="X1" s="314"/>
      <c r="Y1" s="314"/>
      <c r="Z1" s="314"/>
      <c r="AA1" s="314"/>
      <c r="AB1" s="314"/>
      <c r="AC1" s="300"/>
      <c r="AD1" s="300"/>
      <c r="AE1" s="300"/>
      <c r="AF1" s="300"/>
      <c r="AG1" s="301"/>
    </row>
    <row r="2" ht="18.75">
      <c r="A2" s="316" t="s">
        <v>315</v>
      </c>
      <c r="B2" s="275" t="s">
        <v>226</v>
      </c>
      <c r="C2" s="275" t="s">
        <v>316</v>
      </c>
      <c r="E2" s="276" t="s">
        <v>43</v>
      </c>
      <c r="F2" s="275" t="s">
        <v>64</v>
      </c>
      <c r="H2" s="277" t="s">
        <v>43</v>
      </c>
      <c r="I2" s="278" t="s">
        <v>317</v>
      </c>
      <c r="J2" s="279" t="s">
        <v>318</v>
      </c>
      <c r="K2" s="280" t="s">
        <v>319</v>
      </c>
      <c r="M2" s="317" t="s">
        <v>320</v>
      </c>
      <c r="N2" s="317" t="s">
        <v>321</v>
      </c>
      <c r="O2" s="0" t="s">
        <v>43</v>
      </c>
      <c r="P2" s="303"/>
      <c r="R2" s="302"/>
      <c r="S2" s="275" t="s">
        <v>226</v>
      </c>
      <c r="T2" s="275" t="s">
        <v>316</v>
      </c>
      <c r="U2" s="275"/>
      <c r="V2" s="276" t="s">
        <v>43</v>
      </c>
      <c r="W2" s="275" t="s">
        <v>64</v>
      </c>
      <c r="X2" s="275"/>
      <c r="Y2" s="320" t="s">
        <v>43</v>
      </c>
      <c r="Z2" s="328" t="s">
        <v>317</v>
      </c>
      <c r="AA2" s="319" t="s">
        <v>318</v>
      </c>
      <c r="AB2" s="319" t="s">
        <v>319</v>
      </c>
      <c r="AD2" s="0" t="s">
        <v>320</v>
      </c>
      <c r="AE2" s="0" t="s">
        <v>321</v>
      </c>
      <c r="AF2" s="0" t="s">
        <v>43</v>
      </c>
      <c r="AG2" s="303"/>
    </row>
    <row r="3" ht="26.25">
      <c r="A3" s="318" t="s">
        <v>322</v>
      </c>
      <c r="B3" s="319">
        <v>2.5</v>
      </c>
      <c r="C3" s="319">
        <v>13</v>
      </c>
      <c r="E3" s="319" t="s">
        <v>228</v>
      </c>
      <c r="F3" s="319">
        <v>450</v>
      </c>
      <c r="H3" s="281" t="s">
        <v>323</v>
      </c>
      <c r="I3" s="282">
        <v>2</v>
      </c>
      <c r="J3" s="283">
        <v>75</v>
      </c>
      <c r="K3" s="284">
        <f ref="K3:K10" t="shared" si="0">I3*J3</f>
        <v>150</v>
      </c>
      <c r="M3" s="139" t="s">
        <v>324</v>
      </c>
      <c r="N3" s="13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139" t="str">
        <f>IF((N6&gt;0),"OK","WAIT")</f>
        <v>WAIT</v>
      </c>
      <c r="P3" s="303"/>
      <c r="R3" s="302"/>
      <c r="S3" s="327" t="s">
        <v>287</v>
      </c>
      <c r="T3" s="319">
        <v>17</v>
      </c>
      <c r="U3" s="275"/>
      <c r="V3" s="319" t="s">
        <v>228</v>
      </c>
      <c r="W3" s="319">
        <v>450</v>
      </c>
      <c r="X3" s="275"/>
      <c r="Y3" s="320" t="s">
        <v>325</v>
      </c>
      <c r="Z3" s="321">
        <v>8</v>
      </c>
      <c r="AA3" s="319">
        <v>50</v>
      </c>
      <c r="AB3" s="319">
        <f ref="AB3:AB11" t="shared" si="1">Z3*AA3</f>
        <v>400</v>
      </c>
      <c r="AD3" s="329" t="s">
        <v>324</v>
      </c>
      <c r="AE3" s="329">
        <f>IF((تسعير!AH28="3*3"),1,IF((تسعير!AH28="4*4"),2,no))</f>
        <v>2</v>
      </c>
      <c r="AF3" s="329"/>
      <c r="AG3" s="303"/>
    </row>
    <row r="4" ht="26.25">
      <c r="A4" s="318" t="s">
        <v>322</v>
      </c>
      <c r="B4" s="319">
        <v>2.7</v>
      </c>
      <c r="C4" s="319" t="s">
        <v>326</v>
      </c>
      <c r="E4" s="319" t="s">
        <v>327</v>
      </c>
      <c r="F4" s="319">
        <v>120</v>
      </c>
      <c r="H4" s="281" t="s">
        <v>328</v>
      </c>
      <c r="I4" s="282">
        <v>2</v>
      </c>
      <c r="J4" s="283">
        <v>7</v>
      </c>
      <c r="K4" s="284">
        <f t="shared" si="0"/>
        <v>14</v>
      </c>
      <c r="M4" s="139" t="s">
        <v>329</v>
      </c>
      <c r="N4" s="13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139" t="str">
        <f>IF((N10=0),"WAIT","OK")</f>
        <v>OK</v>
      </c>
      <c r="P4" s="303"/>
      <c r="R4" s="302"/>
      <c r="S4" s="327" t="s">
        <v>227</v>
      </c>
      <c r="T4" s="319">
        <v>18.75</v>
      </c>
      <c r="U4" s="275"/>
      <c r="V4" s="319" t="s">
        <v>327</v>
      </c>
      <c r="W4" s="319">
        <v>200</v>
      </c>
      <c r="X4" s="275"/>
      <c r="Y4" s="320" t="s">
        <v>328</v>
      </c>
      <c r="Z4" s="321">
        <v>2</v>
      </c>
      <c r="AA4" s="319">
        <v>15</v>
      </c>
      <c r="AB4" s="319">
        <f t="shared" si="1"/>
        <v>30</v>
      </c>
      <c r="AD4" s="329" t="s">
        <v>329</v>
      </c>
      <c r="AE4" s="329">
        <f>IF((AE3=1),T3,IF((AE3=2),Table122[[#This Row],[ميزان]],no))</f>
        <v>18.75</v>
      </c>
      <c r="AF4" s="329"/>
      <c r="AG4" s="303"/>
    </row>
    <row r="5" ht="18.75">
      <c r="A5" s="318" t="s">
        <v>322</v>
      </c>
      <c r="B5" s="319">
        <v>3</v>
      </c>
      <c r="C5" s="319">
        <v>14.5</v>
      </c>
      <c r="E5" s="319" t="s">
        <v>330</v>
      </c>
      <c r="F5" s="319">
        <v>120</v>
      </c>
      <c r="H5" s="281" t="s">
        <v>331</v>
      </c>
      <c r="I5" s="282">
        <v>16</v>
      </c>
      <c r="J5" s="283">
        <v>10</v>
      </c>
      <c r="K5" s="284">
        <f t="shared" si="0"/>
        <v>160</v>
      </c>
      <c r="M5" s="139" t="s">
        <v>332</v>
      </c>
      <c r="N5" s="139">
        <f>IF((تسعير!AL8="خشبي"),'شماسي و كانتليفر'!F8,IF((تسعير!AL8="سادة"),'شماسي و كانتليفر'!F9,0))</f>
        <v>20</v>
      </c>
      <c r="O5" s="13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03"/>
      <c r="R5" s="302"/>
      <c r="S5" s="319"/>
      <c r="T5" s="319"/>
      <c r="U5" s="275"/>
      <c r="V5" s="319" t="s">
        <v>330</v>
      </c>
      <c r="W5" s="319">
        <v>150</v>
      </c>
      <c r="X5" s="275"/>
      <c r="Y5" s="320" t="s">
        <v>333</v>
      </c>
      <c r="Z5" s="321">
        <v>1</v>
      </c>
      <c r="AA5" s="319">
        <v>150</v>
      </c>
      <c r="AB5" s="319">
        <f t="shared" si="1"/>
        <v>150</v>
      </c>
      <c r="AD5" s="329" t="s">
        <v>332</v>
      </c>
      <c r="AE5" s="329">
        <f>IF((تسعير!AI28="خشبي"),W8,IF((تسعير!AI28="سادة"),W9,IF((تسعير!AI28="ذهبي"),W10,0)))</f>
        <v>20</v>
      </c>
      <c r="AF5" s="329"/>
      <c r="AG5" s="303"/>
    </row>
    <row r="6" ht="18.75">
      <c r="A6" s="318" t="s">
        <v>322</v>
      </c>
      <c r="B6" s="319">
        <v>3.5</v>
      </c>
      <c r="C6" s="319" t="s">
        <v>326</v>
      </c>
      <c r="E6" s="319" t="s">
        <v>334</v>
      </c>
      <c r="F6" s="319">
        <v>250</v>
      </c>
      <c r="H6" s="281" t="s">
        <v>335</v>
      </c>
      <c r="I6" s="282">
        <v>16</v>
      </c>
      <c r="J6" s="283">
        <v>1</v>
      </c>
      <c r="K6" s="284">
        <f t="shared" si="0"/>
        <v>16</v>
      </c>
      <c r="M6" s="139" t="s">
        <v>336</v>
      </c>
      <c r="N6" s="139">
        <f>(N5+'شماسي و كانتليفر'!F10)*(N4)</f>
        <v>0</v>
      </c>
      <c r="O6" s="139" t="str">
        <f>IF((N5=0),"WAIT","OK")</f>
        <v>OK</v>
      </c>
      <c r="P6" s="303"/>
      <c r="R6" s="302"/>
      <c r="S6" s="319"/>
      <c r="T6" s="319">
        <v>37</v>
      </c>
      <c r="U6" s="275"/>
      <c r="V6" s="319" t="s">
        <v>209</v>
      </c>
      <c r="W6" s="319">
        <v>250</v>
      </c>
      <c r="X6" s="275"/>
      <c r="Y6" s="320" t="s">
        <v>337</v>
      </c>
      <c r="Z6" s="321">
        <v>1</v>
      </c>
      <c r="AA6" s="319">
        <v>150</v>
      </c>
      <c r="AB6" s="319">
        <f t="shared" si="1"/>
        <v>150</v>
      </c>
      <c r="AD6" s="329" t="s">
        <v>336</v>
      </c>
      <c r="AE6" s="329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3225</v>
      </c>
      <c r="AF6" s="329"/>
      <c r="AG6" s="303"/>
    </row>
    <row r="7" ht="18.75">
      <c r="A7" s="318" t="s">
        <v>338</v>
      </c>
      <c r="B7" s="319">
        <v>2</v>
      </c>
      <c r="C7" s="319">
        <v>13</v>
      </c>
      <c r="E7" s="319" t="s">
        <v>43</v>
      </c>
      <c r="F7" s="319" t="s">
        <v>64</v>
      </c>
      <c r="H7" s="281" t="s">
        <v>339</v>
      </c>
      <c r="I7" s="282">
        <v>2</v>
      </c>
      <c r="J7" s="283">
        <v>100</v>
      </c>
      <c r="K7" s="284">
        <f t="shared" si="0"/>
        <v>200</v>
      </c>
      <c r="M7" s="139" t="s">
        <v>340</v>
      </c>
      <c r="N7" s="13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13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03"/>
      <c r="R7" s="302"/>
      <c r="S7" s="319"/>
      <c r="T7" s="319">
        <v>45</v>
      </c>
      <c r="U7" s="275"/>
      <c r="V7" s="319" t="s">
        <v>43</v>
      </c>
      <c r="W7" s="319" t="s">
        <v>64</v>
      </c>
      <c r="X7" s="275"/>
      <c r="Y7" s="320" t="s">
        <v>341</v>
      </c>
      <c r="Z7" s="321">
        <v>1</v>
      </c>
      <c r="AA7" s="319">
        <v>150</v>
      </c>
      <c r="AB7" s="319">
        <f t="shared" si="1"/>
        <v>150</v>
      </c>
      <c r="AD7" s="329" t="s">
        <v>340</v>
      </c>
      <c r="AE7" s="329">
        <f>IF((تسعير!AJ28="اسباني"),W3,IF((تسعير!AJ28="بولي استر"),W5,IF((تسعير!AJ28="hdpe"),W4,IF((تسعير!AJ28="مصري"),W6,0))))</f>
        <v>450</v>
      </c>
      <c r="AF7" s="329"/>
      <c r="AG7" s="303"/>
    </row>
    <row r="8" ht="18.75">
      <c r="A8" s="318" t="s">
        <v>338</v>
      </c>
      <c r="B8" s="319">
        <v>2.5</v>
      </c>
      <c r="C8" s="319" t="s">
        <v>326</v>
      </c>
      <c r="E8" s="319" t="s">
        <v>205</v>
      </c>
      <c r="F8" s="319">
        <f>Table626[[#This Row],[Column2]]</f>
        <v>40</v>
      </c>
      <c r="H8" s="281" t="s">
        <v>342</v>
      </c>
      <c r="I8" s="282">
        <v>2</v>
      </c>
      <c r="J8" s="283">
        <v>20</v>
      </c>
      <c r="K8" s="284">
        <f t="shared" si="0"/>
        <v>40</v>
      </c>
      <c r="M8" s="139" t="s">
        <v>343</v>
      </c>
      <c r="N8" s="13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13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03"/>
      <c r="R8" s="302"/>
      <c r="S8" s="319"/>
      <c r="T8" s="319"/>
      <c r="U8" s="275"/>
      <c r="V8" s="319" t="s">
        <v>205</v>
      </c>
      <c r="W8" s="319">
        <f>Sheet2!B15/1000</f>
        <v>40</v>
      </c>
      <c r="X8" s="275"/>
      <c r="Y8" s="320" t="s">
        <v>344</v>
      </c>
      <c r="Z8" s="321">
        <v>2</v>
      </c>
      <c r="AA8" s="319">
        <v>50</v>
      </c>
      <c r="AB8" s="319">
        <f t="shared" si="1"/>
        <v>100</v>
      </c>
      <c r="AD8" s="329" t="s">
        <v>343</v>
      </c>
      <c r="AE8" s="329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29"/>
      <c r="AG8" s="303"/>
    </row>
    <row r="9" ht="18.75">
      <c r="A9" s="318" t="s">
        <v>338</v>
      </c>
      <c r="B9" s="319">
        <v>3</v>
      </c>
      <c r="C9" s="319">
        <v>14.5</v>
      </c>
      <c r="E9" s="319" t="s">
        <v>197</v>
      </c>
      <c r="F9" s="319">
        <f>Table626[[#This Row],[Column2]]</f>
        <v>20</v>
      </c>
      <c r="H9" s="281" t="s">
        <v>345</v>
      </c>
      <c r="I9" s="282">
        <v>7</v>
      </c>
      <c r="J9" s="283">
        <v>8</v>
      </c>
      <c r="K9" s="284">
        <f t="shared" si="0"/>
        <v>56</v>
      </c>
      <c r="M9" s="139" t="s">
        <v>346</v>
      </c>
      <c r="N9" s="139" t="str">
        <f>IF((تسعير!AM8="اسباني"),(N7*N8),IF((تسعير!AM8="بولي استر"),(N7*N8*1.42),IF((تسعير!AM8="hdpe"),(N7*N8*1.5),IF((تسعير!AM8="بدون"),(0),IF((تسعير!AM8="مصري "),(N7*N8*1.4),"v")))))</f>
        <v>v</v>
      </c>
      <c r="O9" s="139"/>
      <c r="P9" s="303"/>
      <c r="R9" s="302"/>
      <c r="S9" s="319"/>
      <c r="T9" s="319"/>
      <c r="U9" s="275"/>
      <c r="V9" s="319" t="s">
        <v>197</v>
      </c>
      <c r="W9" s="319">
        <f>Sheet2!B41</f>
        <v>20</v>
      </c>
      <c r="X9" s="275"/>
      <c r="Y9" s="320" t="s">
        <v>347</v>
      </c>
      <c r="Z9" s="321">
        <v>36</v>
      </c>
      <c r="AA9" s="319">
        <v>25</v>
      </c>
      <c r="AB9" s="319">
        <f t="shared" si="1"/>
        <v>900</v>
      </c>
      <c r="AD9" s="329" t="s">
        <v>346</v>
      </c>
      <c r="AE9" s="329">
        <f>IF((تسعير!AJ28="اسباني"),(AE7*AE8),IF((تسعير!AJ28="بولي استر"),(AE7*AE8*1.42),IF((تسعير!AJ28="hdpe"),(AE7*AE8*1.5),IF((تسعير!AJ28="مصري"),(AE7*AE8*1.4),"v"))))</f>
        <v>10800</v>
      </c>
      <c r="AF9" s="329"/>
      <c r="AG9" s="303"/>
    </row>
    <row r="10" ht="19.5">
      <c r="A10" s="318" t="s">
        <v>338</v>
      </c>
      <c r="B10" s="319">
        <v>3.3</v>
      </c>
      <c r="C10" s="319">
        <v>17.5</v>
      </c>
      <c r="E10" s="319" t="s">
        <v>255</v>
      </c>
      <c r="F10" s="319">
        <f>W11</f>
        <v>152</v>
      </c>
      <c r="H10" s="281" t="s">
        <v>348</v>
      </c>
      <c r="I10" s="282">
        <v>8</v>
      </c>
      <c r="J10" s="283">
        <v>50</v>
      </c>
      <c r="K10" s="284">
        <f t="shared" si="0"/>
        <v>400</v>
      </c>
      <c r="M10" s="139" t="s">
        <v>349</v>
      </c>
      <c r="N10" s="13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3686</v>
      </c>
      <c r="O10" s="139"/>
      <c r="P10" s="303"/>
      <c r="R10" s="302"/>
      <c r="S10" s="319"/>
      <c r="T10" s="319"/>
      <c r="U10" s="275"/>
      <c r="V10" s="319" t="s">
        <v>350</v>
      </c>
      <c r="W10" s="319">
        <v>90</v>
      </c>
      <c r="X10" s="275"/>
      <c r="Y10" s="320" t="s">
        <v>351</v>
      </c>
      <c r="Z10" s="321">
        <v>1</v>
      </c>
      <c r="AA10" s="319">
        <v>75</v>
      </c>
      <c r="AB10" s="319">
        <f t="shared" si="1"/>
        <v>75</v>
      </c>
      <c r="AD10" s="329" t="s">
        <v>349</v>
      </c>
      <c r="AE10" s="329">
        <f>IF(تسعير!AG28="جملة",(((W12+W13)/2)+Table424[[#Totals],[قيمة]]),IF(تسعير!AG28="قطاعي",(((W12+W13))+Table424[[#Totals],[قيمة]]),0))</f>
        <v>5830</v>
      </c>
      <c r="AF10" s="329"/>
      <c r="AG10" s="303"/>
    </row>
    <row r="11" ht="18.75">
      <c r="A11" s="316"/>
      <c r="E11" s="285" t="s">
        <v>352</v>
      </c>
      <c r="F11" s="286">
        <v>450</v>
      </c>
      <c r="H11" s="287" t="s">
        <v>353</v>
      </c>
      <c r="I11" s="288"/>
      <c r="J11" s="289"/>
      <c r="K11" s="290">
        <v>250</v>
      </c>
      <c r="M11" s="139" t="s">
        <v>354</v>
      </c>
      <c r="N11" s="139">
        <f>IF(OR(تسعير!AN8="double",تسعير!AN8="single مطرز"),'شماسي و كانتليفر'!F13,0)</f>
        <v>0</v>
      </c>
      <c r="O11" s="139"/>
      <c r="P11" s="303"/>
      <c r="R11" s="302"/>
      <c r="S11" s="275"/>
      <c r="T11" s="275"/>
      <c r="U11" s="275"/>
      <c r="V11" s="319" t="s">
        <v>255</v>
      </c>
      <c r="W11" s="319">
        <f>Sheet2!B14/1000</f>
        <v>152</v>
      </c>
      <c r="X11" s="275"/>
      <c r="Y11" s="320" t="s">
        <v>355</v>
      </c>
      <c r="Z11" s="321">
        <v>1</v>
      </c>
      <c r="AA11" s="319">
        <v>75</v>
      </c>
      <c r="AB11" s="319">
        <f t="shared" si="1"/>
        <v>75</v>
      </c>
      <c r="AD11" s="329" t="s">
        <v>354</v>
      </c>
      <c r="AE11" s="329">
        <f>IF(تسعير!AK28="no",0,W14)</f>
        <v>700</v>
      </c>
      <c r="AF11" s="329"/>
      <c r="AG11" s="303"/>
    </row>
    <row r="12" ht="18.75">
      <c r="A12" s="316"/>
      <c r="E12" s="291" t="s">
        <v>356</v>
      </c>
      <c r="F12" s="292">
        <v>450</v>
      </c>
      <c r="H12" s="293" t="s">
        <v>357</v>
      </c>
      <c r="I12" s="282"/>
      <c r="J12" s="283"/>
      <c r="K12" s="294">
        <v>1500</v>
      </c>
      <c r="M12" s="139" t="s">
        <v>358</v>
      </c>
      <c r="N12" s="139">
        <f>'شماسي و كانتليفر'!K12</f>
        <v>1500</v>
      </c>
      <c r="O12" s="139"/>
      <c r="P12" s="303"/>
      <c r="R12" s="302"/>
      <c r="S12" s="275"/>
      <c r="T12" s="275"/>
      <c r="U12" s="275"/>
      <c r="V12" s="319" t="s">
        <v>352</v>
      </c>
      <c r="W12" s="319">
        <v>500</v>
      </c>
      <c r="X12" s="275"/>
      <c r="Y12" s="329" t="s">
        <v>357</v>
      </c>
      <c r="Z12" s="321"/>
      <c r="AA12" s="319"/>
      <c r="AB12" s="231">
        <v>2000</v>
      </c>
      <c r="AD12" s="329" t="s">
        <v>359</v>
      </c>
      <c r="AE12" s="329">
        <f>IF(تسعير!AG28="نصف جملة",((AE6+AE9+AE10+AE11+تسعير!AL28)*1.25),IF(تسعير!AG28="جملة",(((AE6+AE9+AE10+AE11+تسعير!AL28)*1.275)),((AE6+AE9+AE10+AE11+تسعير!AL28)*1.3)))</f>
        <v>26721.5</v>
      </c>
      <c r="AF12" s="329"/>
      <c r="AG12" s="303"/>
    </row>
    <row r="13" ht="19.5">
      <c r="A13" s="316"/>
      <c r="E13" s="295" t="s">
        <v>360</v>
      </c>
      <c r="F13" s="296">
        <v>650</v>
      </c>
      <c r="H13" s="297" t="s">
        <v>88</v>
      </c>
      <c r="I13" s="289"/>
      <c r="J13" s="289"/>
      <c r="K13" s="298">
        <f>SUBTOTAL(109,Table4[قيمة])</f>
        <v>2786</v>
      </c>
      <c r="M13" s="139" t="s">
        <v>359</v>
      </c>
      <c r="N13" s="139" t="e">
        <f>IF(تسعير!AI8="نصف جملة",((N6+N9+N10+N11+تسعير!AO8)*1.275),IF(تسعير!AI8="جملة",(((N6+N9+N10+N11+تسعير!AO8)*1.25)),((N6+N9+N10+N11+تسعير!AO8)*1.3)))</f>
        <v>#VALUE!</v>
      </c>
      <c r="O13" s="139"/>
      <c r="P13" s="303"/>
      <c r="R13" s="302"/>
      <c r="S13" s="275"/>
      <c r="T13" s="275"/>
      <c r="U13" s="275"/>
      <c r="V13" s="319" t="s">
        <v>356</v>
      </c>
      <c r="W13" s="319">
        <v>500</v>
      </c>
      <c r="X13" s="275"/>
      <c r="Y13" s="320" t="s">
        <v>361</v>
      </c>
      <c r="Z13" s="321">
        <v>8</v>
      </c>
      <c r="AA13" s="319">
        <v>100</v>
      </c>
      <c r="AB13" s="319">
        <f>Table424[[#This Row],[سعر الوحدة]]*Table424[[#This Row],[عدد/الشمسية]]</f>
        <v>800</v>
      </c>
      <c r="AG13" s="303"/>
    </row>
    <row r="14" ht="18.75">
      <c r="A14" s="316"/>
      <c r="H14" s="320"/>
      <c r="I14" s="321"/>
      <c r="J14" s="319"/>
      <c r="K14" s="319"/>
      <c r="M14" s="139"/>
      <c r="N14" s="139"/>
      <c r="O14" s="139"/>
      <c r="P14" s="303"/>
      <c r="R14" s="302"/>
      <c r="S14" s="275"/>
      <c r="T14" s="275"/>
      <c r="U14" s="275"/>
      <c r="V14" s="319" t="s">
        <v>360</v>
      </c>
      <c r="W14" s="319">
        <v>700</v>
      </c>
      <c r="X14" s="275"/>
      <c r="Y14" s="320"/>
      <c r="Z14" s="321"/>
      <c r="AA14" s="319"/>
      <c r="AB14" s="319"/>
      <c r="AG14" s="303"/>
    </row>
    <row r="15" ht="18.75">
      <c r="A15" s="316"/>
      <c r="H15" s="276" t="s">
        <v>226</v>
      </c>
      <c r="I15" s="275" t="s">
        <v>362</v>
      </c>
      <c r="J15" s="275" t="s">
        <v>363</v>
      </c>
      <c r="K15" s="275" t="s">
        <v>364</v>
      </c>
      <c r="M15" s="139"/>
      <c r="N15" s="139"/>
      <c r="O15" s="139"/>
      <c r="P15" s="303"/>
      <c r="R15" s="302"/>
      <c r="S15" s="275"/>
      <c r="T15" s="275"/>
      <c r="U15" s="275"/>
      <c r="V15" s="276"/>
      <c r="W15" s="275"/>
      <c r="X15" s="275"/>
      <c r="Y15" s="320" t="s">
        <v>88</v>
      </c>
      <c r="Z15" s="319"/>
      <c r="AA15" s="319"/>
      <c r="AB15" s="319">
        <f>SUBTOTAL(109,Table424[قيمة])</f>
        <v>4830</v>
      </c>
      <c r="AG15" s="303"/>
    </row>
    <row r="16" ht="18.75">
      <c r="A16" s="316"/>
      <c r="E16" s="276" t="s">
        <v>43</v>
      </c>
      <c r="F16" s="276" t="s">
        <v>64</v>
      </c>
      <c r="H16" s="319" t="s">
        <v>365</v>
      </c>
      <c r="I16" s="319">
        <v>5.8</v>
      </c>
      <c r="J16" s="319">
        <v>7.16</v>
      </c>
      <c r="K16" s="319">
        <v>11.2</v>
      </c>
      <c r="M16" s="139"/>
      <c r="N16" s="139"/>
      <c r="O16" s="139"/>
      <c r="P16" s="303"/>
      <c r="R16" s="302"/>
      <c r="S16" s="275"/>
      <c r="T16" s="275"/>
      <c r="U16" s="275"/>
      <c r="V16" s="276"/>
      <c r="W16" s="275"/>
      <c r="X16" s="275"/>
      <c r="Y16" s="320"/>
      <c r="Z16" s="321"/>
      <c r="AA16" s="319"/>
      <c r="AB16" s="319"/>
      <c r="AG16" s="303"/>
    </row>
    <row r="17" ht="18.75">
      <c r="A17" s="302"/>
      <c r="E17" s="276" t="s">
        <v>207</v>
      </c>
      <c r="F17" s="275" t="s">
        <v>210</v>
      </c>
      <c r="H17" s="319" t="s">
        <v>366</v>
      </c>
      <c r="I17" s="319">
        <v>5.63</v>
      </c>
      <c r="J17" s="319" t="s">
        <v>326</v>
      </c>
      <c r="K17" s="319" t="s">
        <v>326</v>
      </c>
      <c r="P17" s="303"/>
      <c r="R17" s="302"/>
      <c r="V17" s="276" t="s">
        <v>43</v>
      </c>
      <c r="W17" s="275" t="s">
        <v>64</v>
      </c>
      <c r="X17" s="275"/>
      <c r="Y17" s="276" t="s">
        <v>226</v>
      </c>
      <c r="Z17" s="275" t="s">
        <v>362</v>
      </c>
      <c r="AA17" s="275" t="s">
        <v>363</v>
      </c>
      <c r="AB17" s="275" t="s">
        <v>364</v>
      </c>
      <c r="AG17" s="303"/>
    </row>
    <row r="18" ht="18.75">
      <c r="A18" s="302"/>
      <c r="E18" s="276" t="s">
        <v>367</v>
      </c>
      <c r="F18" s="275" t="s">
        <v>368</v>
      </c>
      <c r="H18" s="319" t="s">
        <v>369</v>
      </c>
      <c r="I18" s="319" t="s">
        <v>326</v>
      </c>
      <c r="J18" s="319" t="s">
        <v>326</v>
      </c>
      <c r="K18" s="319" t="s">
        <v>326</v>
      </c>
      <c r="P18" s="303"/>
      <c r="R18" s="302"/>
      <c r="V18" s="319" t="s">
        <v>207</v>
      </c>
      <c r="W18" s="320" t="s">
        <v>210</v>
      </c>
      <c r="X18" s="275"/>
      <c r="Y18" s="319" t="s">
        <v>287</v>
      </c>
      <c r="Z18" s="319">
        <v>10</v>
      </c>
      <c r="AA18" s="319">
        <v>13</v>
      </c>
      <c r="AB18" s="319">
        <v>16</v>
      </c>
      <c r="AG18" s="303"/>
    </row>
    <row r="19" ht="18.75">
      <c r="A19" s="302"/>
      <c r="E19" s="276" t="s">
        <v>370</v>
      </c>
      <c r="F19" s="275" t="s">
        <v>229</v>
      </c>
      <c r="H19" s="319" t="s">
        <v>371</v>
      </c>
      <c r="I19" s="319">
        <v>6.46</v>
      </c>
      <c r="J19" s="319" t="s">
        <v>326</v>
      </c>
      <c r="K19" s="319" t="s">
        <v>326</v>
      </c>
      <c r="P19" s="303"/>
      <c r="R19" s="302"/>
      <c r="V19" s="319" t="s">
        <v>367</v>
      </c>
      <c r="W19" s="320" t="s">
        <v>368</v>
      </c>
      <c r="X19" s="275"/>
      <c r="Y19" s="319" t="s">
        <v>227</v>
      </c>
      <c r="Z19" s="319">
        <v>16</v>
      </c>
      <c r="AA19" s="319">
        <v>20</v>
      </c>
      <c r="AB19" s="319">
        <v>24</v>
      </c>
      <c r="AG19" s="303"/>
    </row>
    <row r="20" ht="18.75">
      <c r="A20" s="302"/>
      <c r="F20" s="275" t="s">
        <v>372</v>
      </c>
      <c r="H20" s="319" t="s">
        <v>373</v>
      </c>
      <c r="I20" s="319" t="s">
        <v>326</v>
      </c>
      <c r="J20" s="319" t="s">
        <v>326</v>
      </c>
      <c r="K20" s="319" t="s">
        <v>326</v>
      </c>
      <c r="P20" s="303"/>
      <c r="R20" s="302"/>
      <c r="V20" s="319"/>
      <c r="W20" s="320" t="s">
        <v>229</v>
      </c>
      <c r="X20" s="275"/>
      <c r="Y20" s="319"/>
      <c r="Z20" s="319"/>
      <c r="AA20" s="319"/>
      <c r="AB20" s="319"/>
      <c r="AG20" s="303"/>
    </row>
    <row r="21" ht="18.75">
      <c r="A21" s="302"/>
      <c r="H21" s="319" t="s">
        <v>374</v>
      </c>
      <c r="I21" s="319" t="s">
        <v>326</v>
      </c>
      <c r="J21" s="319" t="s">
        <v>326</v>
      </c>
      <c r="K21" s="319" t="s">
        <v>326</v>
      </c>
      <c r="P21" s="303"/>
      <c r="R21" s="302"/>
      <c r="V21" s="276"/>
      <c r="W21" s="275"/>
      <c r="X21" s="275"/>
      <c r="Y21" s="319"/>
      <c r="Z21" s="319"/>
      <c r="AA21" s="319"/>
      <c r="AB21" s="319"/>
      <c r="AG21" s="303"/>
    </row>
    <row r="22" ht="18.75">
      <c r="A22" s="302"/>
      <c r="H22" s="319" t="s">
        <v>375</v>
      </c>
      <c r="I22" s="319">
        <v>8.4</v>
      </c>
      <c r="J22" s="319">
        <v>11.35</v>
      </c>
      <c r="K22" s="319">
        <v>15.5</v>
      </c>
      <c r="P22" s="303"/>
      <c r="R22" s="302"/>
      <c r="AG22" s="303"/>
    </row>
    <row r="23" ht="18.75">
      <c r="A23" s="302"/>
      <c r="H23" s="319" t="s">
        <v>376</v>
      </c>
      <c r="I23" s="319">
        <v>9.4</v>
      </c>
      <c r="J23" s="319">
        <v>12.4</v>
      </c>
      <c r="K23" s="319">
        <v>15.4</v>
      </c>
      <c r="P23" s="303"/>
      <c r="R23" s="302"/>
      <c r="AG23" s="303"/>
    </row>
    <row r="24">
      <c r="A24" s="316"/>
      <c r="P24" s="303"/>
      <c r="R24" s="302"/>
      <c r="AG24" s="303"/>
    </row>
    <row r="25" ht="15.75">
      <c r="A25" s="322"/>
      <c r="B25" s="323"/>
      <c r="C25" s="323"/>
      <c r="D25" s="323"/>
      <c r="E25" s="324"/>
      <c r="F25" s="323"/>
      <c r="G25" s="323"/>
      <c r="H25" s="323"/>
      <c r="I25" s="323"/>
      <c r="J25" s="323"/>
      <c r="K25" s="323"/>
      <c r="L25" s="325"/>
      <c r="M25" s="325"/>
      <c r="N25" s="325"/>
      <c r="O25" s="325"/>
      <c r="P25" s="326"/>
      <c r="R25" s="302"/>
      <c r="AG25" s="303"/>
    </row>
    <row r="26" ht="15.75">
      <c r="A26" s="313"/>
      <c r="B26" s="314"/>
      <c r="C26" s="314"/>
      <c r="D26" s="314"/>
      <c r="E26" s="315"/>
      <c r="F26" s="314"/>
      <c r="G26" s="314"/>
      <c r="H26" s="314"/>
      <c r="I26" s="314"/>
      <c r="J26" s="314"/>
      <c r="K26" s="314"/>
      <c r="L26" s="300"/>
      <c r="M26" s="300"/>
      <c r="N26" s="300"/>
      <c r="O26" s="300"/>
      <c r="P26" s="301"/>
      <c r="R26" s="302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6"/>
    </row>
    <row r="27">
      <c r="A27" s="452" t="s">
        <v>62</v>
      </c>
      <c r="B27" s="453" t="s">
        <v>316</v>
      </c>
      <c r="C27" s="453" t="s">
        <v>63</v>
      </c>
      <c r="D27" s="453" t="s">
        <v>377</v>
      </c>
      <c r="E27" s="454" t="s">
        <v>285</v>
      </c>
      <c r="F27" s="453" t="s">
        <v>378</v>
      </c>
      <c r="G27" s="453" t="s">
        <v>279</v>
      </c>
      <c r="H27" s="453"/>
      <c r="I27" s="453"/>
      <c r="J27" s="453"/>
      <c r="K27" s="453"/>
      <c r="L27" s="445"/>
      <c r="M27" s="445"/>
      <c r="N27" s="445"/>
      <c r="O27" s="445"/>
      <c r="P27" s="445"/>
      <c r="Q27" s="445"/>
      <c r="R27" s="445"/>
      <c r="S27" s="445"/>
      <c r="T27" s="445"/>
      <c r="U27" s="446"/>
    </row>
    <row r="28" ht="20.25" customHeight="1">
      <c r="A28" s="455">
        <f>IF((تسعير!T53="بالتات"),0,(تسعير!T47+1))</f>
        <v>2</v>
      </c>
      <c r="B28" s="319">
        <v>78</v>
      </c>
      <c r="C28" s="320" t="s">
        <v>379</v>
      </c>
      <c r="D28" s="319">
        <f>Sheet2!B12/1000</f>
        <v>46</v>
      </c>
      <c r="E28" s="276">
        <f>Table12[[#This Row],[سعر]]*Table12[[#This Row],[ميزان]]*Table12[[#This Row],[عدد]]</f>
        <v>7176</v>
      </c>
      <c r="F28" s="275">
        <f>16*3.14*Table12[[#This Row],[عدد]]*0.05</f>
        <v>5.0240000000000009</v>
      </c>
      <c r="G28" s="275">
        <f>Table12[[#This Row],[ميزان]]*Table12[[#This Row],[عدد]]</f>
        <v>156</v>
      </c>
      <c r="U28" s="444"/>
    </row>
    <row r="29" ht="35.25" customHeight="1">
      <c r="A29" s="455">
        <f>IF((تسعير!T53="بالتات"),(تسعير!T47+1),0)</f>
        <v>0</v>
      </c>
      <c r="B29" s="319">
        <v>62</v>
      </c>
      <c r="C29" s="320" t="s">
        <v>380</v>
      </c>
      <c r="D29" s="319">
        <f>Sheet2!B12/1000</f>
        <v>46</v>
      </c>
      <c r="E29" s="276">
        <f>Table12[[#This Row],[سعر]]*Table12[[#This Row],[ميزان]]*Table12[[#This Row],[عدد]]</f>
        <v>0</v>
      </c>
      <c r="F29" s="438">
        <f>16*3.14*Table12[[#This Row],[عدد]]*0.04</f>
        <v>0</v>
      </c>
      <c r="G29" s="275">
        <f>Table12[[#This Row],[ميزان]]*Table12[[#This Row],[عدد]]</f>
        <v>0</v>
      </c>
      <c r="I29" s="203"/>
      <c r="J29" s="203"/>
      <c r="K29" s="231"/>
      <c r="L29" s="629" t="s">
        <v>166</v>
      </c>
      <c r="M29" s="629"/>
      <c r="N29" s="629"/>
      <c r="O29" s="629"/>
      <c r="P29" s="629"/>
      <c r="Q29" s="629"/>
      <c r="R29" s="203"/>
      <c r="S29" s="203"/>
      <c r="T29" s="203"/>
      <c r="U29" s="444"/>
    </row>
    <row r="30" ht="35.25" customHeight="1">
      <c r="A30" s="455">
        <f>A28+A29</f>
        <v>2</v>
      </c>
      <c r="B30" s="319">
        <v>28</v>
      </c>
      <c r="C30" s="320" t="s">
        <v>381</v>
      </c>
      <c r="D30" s="319">
        <f>Sheet2!B12/1000</f>
        <v>46</v>
      </c>
      <c r="E30" s="276">
        <f>Table12[[#This Row],[سعر]]*Table12[[#This Row],[ميزان]]*Table12[[#This Row],[عدد]]</f>
        <v>2576</v>
      </c>
      <c r="F30" s="275">
        <f>3*6*Table12[[#This Row],[عدد]]/10</f>
        <v>3.6</v>
      </c>
      <c r="G30" s="275">
        <f>Table12[[#This Row],[ميزان]]*Table12[[#This Row],[عدد]]</f>
        <v>56</v>
      </c>
      <c r="I30" s="205" t="s">
        <v>382</v>
      </c>
      <c r="J30" s="233" t="s">
        <v>63</v>
      </c>
      <c r="K30" s="205" t="s">
        <v>167</v>
      </c>
      <c r="L30" s="205" t="s">
        <v>46</v>
      </c>
      <c r="M30" s="205" t="s">
        <v>168</v>
      </c>
      <c r="N30" s="205" t="s">
        <v>169</v>
      </c>
      <c r="O30" s="205" t="s">
        <v>95</v>
      </c>
      <c r="P30" s="205" t="s">
        <v>170</v>
      </c>
      <c r="Q30" s="205" t="s">
        <v>171</v>
      </c>
      <c r="R30" s="234" t="s">
        <v>70</v>
      </c>
      <c r="S30" s="205" t="s">
        <v>71</v>
      </c>
      <c r="U30" s="444"/>
    </row>
    <row r="31" ht="35.25" customHeight="1">
      <c r="A31" s="455">
        <f>A30</f>
        <v>2</v>
      </c>
      <c r="B31" s="319">
        <v>15</v>
      </c>
      <c r="C31" s="320" t="s">
        <v>383</v>
      </c>
      <c r="D31" s="319">
        <f>(Sheet2!B12/1000)+12</f>
        <v>58</v>
      </c>
      <c r="E31" s="276">
        <f>Table12[[#This Row],[سعر]]*Table12[[#This Row],[ميزان]]*Table12[[#This Row],[عدد]]</f>
        <v>1740</v>
      </c>
      <c r="F31" s="275">
        <f>16*3.14*Table12[[#This Row],[عدد]]</f>
        <v>100.48</v>
      </c>
      <c r="I31" s="218">
        <v>4</v>
      </c>
      <c r="J31" s="449" t="s">
        <v>172</v>
      </c>
      <c r="K31" s="205">
        <f>IF((Table161243[[#This Row],[موقع العمل]]="المصنع"),150,IF((Table161243[[#This Row],[موقع العمل]]="الاسكندرية"),160,200))</f>
        <v>150</v>
      </c>
      <c r="L31" s="205">
        <f>SUMIF(Table17[Column1],Table161243[[#This Row],[موقع العمل]],Table17[بدل الوجبة])</f>
        <v>0</v>
      </c>
      <c r="M31" s="205" t="s">
        <v>173</v>
      </c>
      <c r="N31" s="204" t="s">
        <v>73</v>
      </c>
      <c r="O31" s="203"/>
      <c r="P31" s="201">
        <f>IF(AND((تسعير!T47&gt;=1),(4&gt;تسعير!T47)),1,IF(AND((تسعير!T47&gt;=4),(8&gt;تسعير!T47)),2,IF(AND((تسعير!T47&gt;=8),(12&gt;تسعير!T47)),3,IF((تسعير!T47&gt;12),4,0))))</f>
        <v>1</v>
      </c>
      <c r="Q31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150</v>
      </c>
      <c r="R31" s="221">
        <f>Table161243[[#This Row],[الايام]]*Q31</f>
        <v>600</v>
      </c>
      <c r="S31" s="222" t="e">
        <f ref="S31:S43" t="shared" si="2">(R31)/$G$84</f>
        <v>#DIV/0!</v>
      </c>
      <c r="U31" s="444"/>
    </row>
    <row r="32" ht="35.25" customHeight="1">
      <c r="A32" s="455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19">
        <v>23</v>
      </c>
      <c r="C32" s="320" t="s">
        <v>384</v>
      </c>
      <c r="D32" s="319">
        <f>(Sheet2!B12/1000)+12</f>
        <v>58</v>
      </c>
      <c r="E32" s="276">
        <f>Table12[[#This Row],[سعر]]*Table12[[#This Row],[ميزان]]*Table12[[#This Row],[عدد]]</f>
        <v>5336</v>
      </c>
      <c r="I32" s="218">
        <v>2</v>
      </c>
      <c r="J32" s="449" t="s">
        <v>174</v>
      </c>
      <c r="K32" s="205">
        <f>IF((Table161243[[#This Row],[موقع العمل]]="المصنع"),150,IF((Table161243[[#This Row],[موقع العمل]]="الاسكندرية"),160,200))</f>
        <v>150</v>
      </c>
      <c r="L32" s="205">
        <f>SUMIF(Table17[Column1],Table161243[[#This Row],[موقع العمل]],Table17[بدل الوجبة])</f>
        <v>0</v>
      </c>
      <c r="M32" s="205" t="s">
        <v>173</v>
      </c>
      <c r="N32" s="204" t="s">
        <v>73</v>
      </c>
      <c r="O32" s="203"/>
      <c r="P32" s="201">
        <f>IF(AND((تسعير!T47&gt;=1),(4&gt;تسعير!T47)),1,IF(AND((تسعير!T47&gt;=4),(8&gt;تسعير!T47)),2,IF(AND((تسعير!T47&gt;=8),(12&gt;تسعير!T47)),3,IF((تسعير!T47&gt;12),4,0))))</f>
        <v>1</v>
      </c>
      <c r="Q32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150</v>
      </c>
      <c r="R32" s="221">
        <f>Table161243[[#This Row],[الايام]]*Q32</f>
        <v>300</v>
      </c>
      <c r="S32" s="222" t="e">
        <f t="shared" si="2"/>
        <v>#DIV/0!</v>
      </c>
      <c r="U32" s="444"/>
    </row>
    <row r="33" ht="35.25" customHeight="1">
      <c r="A33" s="455">
        <f>A30</f>
        <v>2</v>
      </c>
      <c r="B33" s="319">
        <v>1</v>
      </c>
      <c r="C33" s="320" t="s">
        <v>385</v>
      </c>
      <c r="D33" s="319">
        <v>100</v>
      </c>
      <c r="E33" s="276">
        <f>Table12[[#This Row],[سعر]]*Table12[[#This Row],[ميزان]]*Table12[[#This Row],[عدد]]</f>
        <v>200</v>
      </c>
      <c r="I33" s="218">
        <v>3</v>
      </c>
      <c r="J33" s="449" t="s">
        <v>175</v>
      </c>
      <c r="K33" s="205">
        <f>IF((Table161243[[#This Row],[موقع العمل]]="المصنع"),150,IF((Table161243[[#This Row],[موقع العمل]]="الاسكندرية"),160,200))</f>
        <v>150</v>
      </c>
      <c r="L33" s="205">
        <f>SUMIF(Table17[Column1],Table161243[[#This Row],[موقع العمل]],Table17[بدل الوجبة])</f>
        <v>0</v>
      </c>
      <c r="M33" s="205" t="s">
        <v>173</v>
      </c>
      <c r="N33" s="204" t="s">
        <v>73</v>
      </c>
      <c r="O33" s="203"/>
      <c r="P33" s="201">
        <f>IF(AND((تسعير!T47&gt;=1),(4&gt;تسعير!T47)),2,IF(AND((تسعير!T47&gt;=4),(8&gt;تسعير!T47)),3,IF(AND((تسعير!T47&gt;=8),(12&gt;تسعير!T47)),4,IF((تسعير!T47&gt;12),5,0))))</f>
        <v>2</v>
      </c>
      <c r="Q33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300</v>
      </c>
      <c r="R33" s="221">
        <f>Table161243[[#This Row],[الايام]]*Q33</f>
        <v>900</v>
      </c>
      <c r="S33" s="222" t="e">
        <f t="shared" si="2"/>
        <v>#DIV/0!</v>
      </c>
      <c r="U33" s="444"/>
    </row>
    <row r="34" ht="35.25" customHeight="1">
      <c r="A34" s="455">
        <f>(A31+A32)*2</f>
        <v>12</v>
      </c>
      <c r="B34" s="319">
        <v>1</v>
      </c>
      <c r="C34" s="320" t="s">
        <v>386</v>
      </c>
      <c r="D34" s="319">
        <v>50</v>
      </c>
      <c r="E34" s="276">
        <f>Table12[[#This Row],[سعر]]*Table12[[#This Row],[ميزان]]*Table12[[#This Row],[عدد]]</f>
        <v>600</v>
      </c>
      <c r="I34" s="218">
        <v>0</v>
      </c>
      <c r="J34" s="449" t="s">
        <v>176</v>
      </c>
      <c r="K34" s="205">
        <f>IF((Table161243[[#This Row],[موقع العمل]]="المصنع"),150,IF((Table161243[[#This Row],[موقع العمل]]="الاسكندرية"),160,200))</f>
        <v>150</v>
      </c>
      <c r="L34" s="205">
        <f>SUMIF(Table17[Column1],Table161243[[#This Row],[موقع العمل]],Table17[بدل الوجبة])</f>
        <v>0</v>
      </c>
      <c r="M34" s="205" t="s">
        <v>173</v>
      </c>
      <c r="N34" s="204" t="s">
        <v>73</v>
      </c>
      <c r="O34" s="203"/>
      <c r="P34" s="218">
        <v>0</v>
      </c>
      <c r="Q34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21">
        <f>Table161243[[#This Row],[الايام]]*Q34</f>
        <v>0</v>
      </c>
      <c r="S34" s="222" t="e">
        <f t="shared" si="2"/>
        <v>#DIV/0!</v>
      </c>
      <c r="U34" s="444"/>
    </row>
    <row r="35" ht="35.25" customHeight="1">
      <c r="A35" s="455">
        <f>تسعير!T47*4</f>
        <v>4</v>
      </c>
      <c r="B35" s="319">
        <v>1</v>
      </c>
      <c r="C35" s="320" t="s">
        <v>387</v>
      </c>
      <c r="D35" s="319">
        <v>50</v>
      </c>
      <c r="E35" s="276">
        <f>Table12[[#This Row],[سعر]]*Table12[[#This Row],[ميزان]]*Table12[[#This Row],[عدد]]</f>
        <v>200</v>
      </c>
      <c r="I35" s="218">
        <v>4</v>
      </c>
      <c r="J35" s="449" t="s">
        <v>177</v>
      </c>
      <c r="K35" s="205">
        <f>IF((Table161243[[#This Row],[موقع العمل]]="المصنع"),150,IF((Table161243[[#This Row],[موقع العمل]]="الاسكندرية"),160,200))</f>
        <v>200</v>
      </c>
      <c r="L35" s="205">
        <f>SUMIF(Table17[Column1],Table161243[[#This Row],[موقع العمل]],Table17[بدل الوجبة])</f>
        <v>75</v>
      </c>
      <c r="M35" s="205" t="str">
        <f>تسعير!$T$45</f>
        <v>الشيخ زايد</v>
      </c>
      <c r="N35" s="204" t="s">
        <v>73</v>
      </c>
      <c r="O35" s="203"/>
      <c r="P35" s="218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275</v>
      </c>
      <c r="R35" s="221">
        <f>Table161243[[#This Row],[الايام]]*Q35</f>
        <v>1100</v>
      </c>
      <c r="S35" s="222" t="e">
        <f t="shared" si="2"/>
        <v>#DIV/0!</v>
      </c>
      <c r="U35" s="444"/>
    </row>
    <row r="36" ht="35.25" customHeight="1">
      <c r="A36" s="455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19">
        <v>1</v>
      </c>
      <c r="C36" s="320" t="s">
        <v>388</v>
      </c>
      <c r="D36" s="319">
        <v>110</v>
      </c>
      <c r="E36" s="276">
        <f>Table12[[#This Row],[سعر]]*Table12[[#This Row],[ميزان]]*Table12[[#This Row],[عدد]]</f>
        <v>3630</v>
      </c>
      <c r="I36" s="218">
        <v>3</v>
      </c>
      <c r="J36" s="449" t="s">
        <v>178</v>
      </c>
      <c r="K36" s="205">
        <f>IF((Table161243[[#This Row],[موقع العمل]]="المصنع"),150,IF((Table161243[[#This Row],[موقع العمل]]="الاسكندرية"),160,200))</f>
        <v>200</v>
      </c>
      <c r="L36" s="205">
        <f>SUMIF(Table17[Column1],Table161243[[#This Row],[موقع العمل]],Table17[بدل الوجبة])</f>
        <v>75</v>
      </c>
      <c r="M36" s="205" t="str">
        <f>تسعير!$T$45</f>
        <v>الشيخ زايد</v>
      </c>
      <c r="N36" s="204" t="s">
        <v>73</v>
      </c>
      <c r="O36" s="203"/>
      <c r="P36" s="218">
        <f>IF(AND((تسعير!T47&gt;=1),(4&gt;تسعير!T47)),2,IF(AND((تسعير!T47&gt;=4),(8&gt;تسعير!T47)),3,IF(AND((تسعير!T47&gt;=8),(12&gt;تسعير!T47)),4,IF((تسعير!T47&gt;12),5,0))))</f>
        <v>2</v>
      </c>
      <c r="Q36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6" s="221">
        <f>Table161243[[#This Row],[الايام]]*Q36</f>
        <v>1650</v>
      </c>
      <c r="S36" s="222" t="e">
        <f t="shared" si="2"/>
        <v>#DIV/0!</v>
      </c>
      <c r="U36" s="444"/>
    </row>
    <row r="37" ht="35.25" customHeight="1">
      <c r="A37" s="456">
        <f>IF((تسعير!T46="A"),Table12[[#This Row],[Column7]],IF((تسعير!T46="B"),Table12[[#This Row],[Column6]]))</f>
        <v>3.4</v>
      </c>
      <c r="B37" s="319">
        <v>1</v>
      </c>
      <c r="C37" s="320" t="s">
        <v>148</v>
      </c>
      <c r="D37" s="319">
        <v>400</v>
      </c>
      <c r="E37" s="440">
        <f>Table12[[#This Row],[سعر]]*Table12[[#This Row],[ميزان]]*Table12[[#This Row],[عدد]]</f>
        <v>1360</v>
      </c>
      <c r="F37" s="275">
        <f>ROUND((Table12[[#This Row],[Column7]]*1.8),1)</f>
        <v>6.1</v>
      </c>
      <c r="G37" s="439">
        <f>ROUND((F29+F30+F28+F48+F52)*0.4,1)</f>
        <v>3.4</v>
      </c>
      <c r="I37" s="218">
        <v>3</v>
      </c>
      <c r="J37" s="449" t="s">
        <v>179</v>
      </c>
      <c r="K37" s="205">
        <f>IF((Table161243[[#This Row],[موقع العمل]]="المصنع"),150,IF((Table161243[[#This Row],[موقع العمل]]="الاسكندرية"),160,200))</f>
        <v>200</v>
      </c>
      <c r="L37" s="205">
        <f>SUMIF(Table17[Column1],Table161243[[#This Row],[موقع العمل]],Table17[بدل الوجبة])</f>
        <v>75</v>
      </c>
      <c r="M37" s="205" t="str">
        <f>تسعير!$T$45</f>
        <v>الشيخ زايد</v>
      </c>
      <c r="N37" s="204" t="s">
        <v>73</v>
      </c>
      <c r="O37" s="203"/>
      <c r="P37" s="218">
        <f>IF(AND((تسعير!T47&gt;=1),(4&gt;تسعير!T47)),1,IF(AND((تسعير!T47&gt;=4),(8&gt;تسعير!T47)),2,IF(AND((تسعير!T47&gt;=8),(12&gt;تسعير!T47)),3,IF((تسعير!T47&gt;12),4,0))))</f>
        <v>1</v>
      </c>
      <c r="Q37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275</v>
      </c>
      <c r="R37" s="221">
        <f>Table161243[[#This Row],[الايام]]*Q37</f>
        <v>825</v>
      </c>
      <c r="S37" s="222" t="e">
        <f t="shared" si="2"/>
        <v>#DIV/0!</v>
      </c>
      <c r="U37" s="444"/>
    </row>
    <row r="38" ht="35.25" customHeight="1">
      <c r="A38" s="456">
        <f>IF((تسعير!T46="A"),Table12[[#This Row],[Column7]],IF((تسعير!T46="B"),Table12[[#This Row],[Column6]]))</f>
        <v>3.4</v>
      </c>
      <c r="B38" s="319">
        <v>1</v>
      </c>
      <c r="C38" s="320" t="s">
        <v>147</v>
      </c>
      <c r="D38" s="319">
        <v>140</v>
      </c>
      <c r="E38" s="440">
        <f>Table12[[#This Row],[سعر]]*Table12[[#This Row],[ميزان]]*Table12[[#This Row],[عدد]]</f>
        <v>476</v>
      </c>
      <c r="F38" s="275">
        <f>ROUND((Table12[[#This Row],[Column7]]*1.8),1)</f>
        <v>6.1</v>
      </c>
      <c r="G38" s="439">
        <f>ROUND((F29+F30+F28+F48+F52)*0.4,1)</f>
        <v>3.4</v>
      </c>
      <c r="I38" s="218">
        <v>0</v>
      </c>
      <c r="J38" s="449" t="s">
        <v>180</v>
      </c>
      <c r="K38" s="205">
        <f>IF((Table161243[[#This Row],[موقع العمل]]="المصنع"),150,IF((Table161243[[#This Row],[موقع العمل]]="الاسكندرية"),160,200))</f>
        <v>200</v>
      </c>
      <c r="L38" s="205">
        <f>SUMIF(Table17[Column1],Table161243[[#This Row],[موقع العمل]],Table17[بدل الوجبة])</f>
        <v>75</v>
      </c>
      <c r="M38" s="205" t="str">
        <f>تسعير!$T$45</f>
        <v>الشيخ زايد</v>
      </c>
      <c r="N38" s="204" t="s">
        <v>73</v>
      </c>
      <c r="O38" s="203"/>
      <c r="P38" s="218">
        <v>0</v>
      </c>
      <c r="Q38" s="220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21">
        <f>Table161243[[#This Row],[الايام]]*Q38</f>
        <v>0</v>
      </c>
      <c r="S38" s="222" t="e">
        <f t="shared" si="2"/>
        <v>#DIV/0!</v>
      </c>
      <c r="U38" s="444"/>
    </row>
    <row r="39" ht="35.25" customHeight="1">
      <c r="A39" s="456">
        <f>IF((تسعير!T46="A"),Table12[[#This Row],[Column7]],IF((تسعير!T46="B"),Table12[[#This Row],[Column6]]))</f>
        <v>3.4</v>
      </c>
      <c r="B39" s="319">
        <v>1</v>
      </c>
      <c r="C39" s="320" t="s">
        <v>79</v>
      </c>
      <c r="D39" s="319">
        <v>40</v>
      </c>
      <c r="E39" s="440">
        <f>Table12[[#This Row],[سعر]]*Table12[[#This Row],[ميزان]]*Table12[[#This Row],[عدد]]</f>
        <v>136</v>
      </c>
      <c r="F39" s="275">
        <f>ROUND((Table12[[#This Row],[Column7]]*1.8),1)</f>
        <v>6.1</v>
      </c>
      <c r="G39" s="439">
        <f>ROUND((F29+F30+F28+F48+F52)*0.4,1)</f>
        <v>3.4</v>
      </c>
      <c r="I39" s="218">
        <f>(I35+I36+I37+I38)*2</f>
        <v>20</v>
      </c>
      <c r="J39" s="449" t="s">
        <v>181</v>
      </c>
      <c r="K39" s="205"/>
      <c r="L39" s="205"/>
      <c r="M39" s="205" t="str">
        <f>تسعير!$T$45</f>
        <v>الشيخ زايد</v>
      </c>
      <c r="N39" s="204"/>
      <c r="O39" s="230">
        <f>SUMIF(Table17[Column1],Table161243[[#This Row],[موقع العمل]],Table17[خارجي])</f>
        <v>120</v>
      </c>
      <c r="P39" s="230"/>
      <c r="Q39" s="220">
        <f>Table161243[[#This Row],[Column12]]</f>
        <v>120</v>
      </c>
      <c r="R39" s="221">
        <f ref="R39:R43" t="shared" si="3">I39*Q39</f>
        <v>2400</v>
      </c>
      <c r="S39" s="222" t="e">
        <f t="shared" si="2"/>
        <v>#DIV/0!</v>
      </c>
      <c r="U39" s="444"/>
    </row>
    <row r="40" ht="35.25" customHeight="1">
      <c r="A40" s="456">
        <f>ROUND((F29+F30)*0.4/3,0)</f>
        <v>0</v>
      </c>
      <c r="B40" s="319">
        <v>1</v>
      </c>
      <c r="C40" s="320" t="s">
        <v>144</v>
      </c>
      <c r="D40" s="319">
        <v>250</v>
      </c>
      <c r="E40" s="440">
        <f>Table12[[#This Row],[سعر]]*Table12[[#This Row],[ميزان]]*Table12[[#This Row],[عدد]]</f>
        <v>0</v>
      </c>
      <c r="I40" s="218">
        <f>((P35+P36+P37+P38)*2)-2</f>
        <v>6</v>
      </c>
      <c r="J40" s="449" t="s">
        <v>182</v>
      </c>
      <c r="K40" s="205"/>
      <c r="L40" s="205"/>
      <c r="M40" s="205" t="str">
        <f>تسعير!$T$45</f>
        <v>الشيخ زايد</v>
      </c>
      <c r="N40" s="204"/>
      <c r="O40" s="230">
        <f>SUMIF(Table17[Column1],Table161243[[#This Row],[موقع العمل]],Table17[داخلي])</f>
        <v>200</v>
      </c>
      <c r="P40" s="230"/>
      <c r="Q40" s="220">
        <f>Table161243[[#This Row],[Column12]]</f>
        <v>200</v>
      </c>
      <c r="R40" s="221">
        <f t="shared" si="3"/>
        <v>1200</v>
      </c>
      <c r="S40" s="222" t="e">
        <f t="shared" si="2"/>
        <v>#DIV/0!</v>
      </c>
      <c r="U40" s="444"/>
    </row>
    <row r="41" ht="35.25" customHeight="1">
      <c r="A41" s="456">
        <f>ROUND((F29+F30)*0.4,0)</f>
        <v>1</v>
      </c>
      <c r="B41" s="319">
        <v>1</v>
      </c>
      <c r="C41" s="320" t="s">
        <v>137</v>
      </c>
      <c r="D41" s="319">
        <v>18</v>
      </c>
      <c r="E41" s="440">
        <f>Table12[[#This Row],[سعر]]*Table12[[#This Row],[ميزان]]*Table12[[#This Row],[عدد]]</f>
        <v>18</v>
      </c>
      <c r="I41" s="218">
        <v>2</v>
      </c>
      <c r="J41" s="449" t="s">
        <v>183</v>
      </c>
      <c r="K41" s="205"/>
      <c r="L41" s="205"/>
      <c r="M41" s="205" t="str">
        <f>تسعير!$T$45</f>
        <v>الشيخ زايد</v>
      </c>
      <c r="N41" s="204"/>
      <c r="O41" s="230">
        <f>SUMIF(Table17[Column1],Table161243[[#This Row],[موقع العمل]],Table17[دبابة])</f>
        <v>1100</v>
      </c>
      <c r="P41" s="230"/>
      <c r="Q41" s="220">
        <f>Table161243[[#This Row],[Column12]]</f>
        <v>1100</v>
      </c>
      <c r="R41" s="221">
        <f t="shared" si="3"/>
        <v>2200</v>
      </c>
      <c r="S41" s="222" t="e">
        <f t="shared" si="2"/>
        <v>#DIV/0!</v>
      </c>
      <c r="U41" s="444"/>
    </row>
    <row r="42" ht="35.25" customHeight="1">
      <c r="A42" s="456">
        <f>ROUND((F29+F30)*0.4,0)</f>
        <v>1</v>
      </c>
      <c r="B42" s="319">
        <v>1</v>
      </c>
      <c r="C42" s="320" t="s">
        <v>139</v>
      </c>
      <c r="D42" s="319">
        <v>18</v>
      </c>
      <c r="E42" s="440">
        <f>Table12[[#This Row],[سعر]]*Table12[[#This Row],[ميزان]]*Table12[[#This Row],[عدد]]</f>
        <v>18</v>
      </c>
      <c r="I42" s="218">
        <v>2</v>
      </c>
      <c r="J42" s="449" t="s">
        <v>184</v>
      </c>
      <c r="K42" s="205"/>
      <c r="L42" s="205"/>
      <c r="M42" s="205" t="str">
        <f>تسعير!$T$45</f>
        <v>الشيخ زايد</v>
      </c>
      <c r="N42" s="204"/>
      <c r="O42" s="230">
        <f>SUMIF(Table17[Column1],Table161243[[#This Row],[موقع العمل]],Table17[جامبو])</f>
        <v>2000</v>
      </c>
      <c r="P42" s="230"/>
      <c r="Q42" s="220">
        <f>Table161243[[#This Row],[Column12]]</f>
        <v>2000</v>
      </c>
      <c r="R42" s="221">
        <f t="shared" si="3"/>
        <v>4000</v>
      </c>
      <c r="S42" s="222" t="e">
        <f t="shared" si="2"/>
        <v>#DIV/0!</v>
      </c>
      <c r="U42" s="444"/>
    </row>
    <row r="43" ht="35.25" customHeight="1">
      <c r="A43" s="456">
        <f>ROUND((F29+F30)*0.4,0)</f>
        <v>1</v>
      </c>
      <c r="B43" s="319">
        <v>1</v>
      </c>
      <c r="C43" s="320" t="s">
        <v>140</v>
      </c>
      <c r="D43" s="319">
        <v>25</v>
      </c>
      <c r="E43" s="440">
        <f>Table12[[#This Row],[سعر]]*Table12[[#This Row],[ميزان]]*Table12[[#This Row],[عدد]]</f>
        <v>25</v>
      </c>
      <c r="I43" s="218">
        <f>I40</f>
        <v>6</v>
      </c>
      <c r="J43" s="449" t="s">
        <v>49</v>
      </c>
      <c r="K43" s="205"/>
      <c r="L43" s="205"/>
      <c r="M43" s="205" t="str">
        <f>تسعير!$T$45</f>
        <v>الشيخ زايد</v>
      </c>
      <c r="N43" s="204"/>
      <c r="O43" s="230">
        <f>SUMIF(Table17[Column1],Table161243[[#This Row],[موقع العمل]],Table17[الاقامة])</f>
        <v>100</v>
      </c>
      <c r="P43" s="230"/>
      <c r="Q43" s="220">
        <f>Table161243[[#This Row],[Column12]]</f>
        <v>100</v>
      </c>
      <c r="R43" s="221">
        <f t="shared" si="3"/>
        <v>600</v>
      </c>
      <c r="S43" s="222" t="e">
        <f t="shared" si="2"/>
        <v>#DIV/0!</v>
      </c>
      <c r="U43" s="444"/>
    </row>
    <row r="44" ht="35.25" customHeight="1">
      <c r="A44" s="456">
        <f>ROUND((F29+F30)*0.4,0)</f>
        <v>1</v>
      </c>
      <c r="B44" s="319">
        <v>1</v>
      </c>
      <c r="C44" s="320" t="s">
        <v>142</v>
      </c>
      <c r="D44" s="319">
        <v>18</v>
      </c>
      <c r="E44" s="440">
        <f>Table12[[#This Row],[سعر]]*Table12[[#This Row],[ميزان]]*Table12[[#This Row],[عدد]]</f>
        <v>18</v>
      </c>
      <c r="I44" s="218"/>
      <c r="J44" s="219" t="s">
        <v>88</v>
      </c>
      <c r="K44" s="205"/>
      <c r="L44" s="205"/>
      <c r="M44" s="204"/>
      <c r="N44" s="204"/>
      <c r="O44" s="203">
        <f>SUBTOTAL(109,Table161243[Column12])</f>
        <v>3520</v>
      </c>
      <c r="P44" s="205"/>
      <c r="Q44" s="226"/>
      <c r="R44" s="221">
        <f>SUBTOTAL(109,Table161243[اجمالي])</f>
        <v>15775</v>
      </c>
      <c r="S44" s="243" t="e">
        <f>Table161243[[#Totals],[اجمالي]]/$G$84</f>
        <v>#DIV/0!</v>
      </c>
      <c r="U44" s="444"/>
    </row>
    <row r="45" ht="35.25" customHeight="1">
      <c r="A45" s="456">
        <f>ROUND((F29+F30)*0.4/3,0)</f>
        <v>0</v>
      </c>
      <c r="B45" s="319">
        <v>1</v>
      </c>
      <c r="C45" s="320" t="s">
        <v>143</v>
      </c>
      <c r="D45" s="319">
        <v>40</v>
      </c>
      <c r="E45" s="440">
        <f>Table12[[#This Row],[سعر]]*Table12[[#This Row],[ميزان]]*Table12[[#This Row],[عدد]]</f>
        <v>0</v>
      </c>
      <c r="I45" s="218"/>
      <c r="J45" s="219"/>
      <c r="K45" s="205"/>
      <c r="L45" s="205"/>
      <c r="M45" s="204"/>
      <c r="N45" s="204"/>
      <c r="O45" s="203"/>
      <c r="P45" s="205"/>
      <c r="Q45" s="226"/>
      <c r="R45" s="221"/>
      <c r="S45" s="243"/>
      <c r="U45" s="444"/>
    </row>
    <row r="46" ht="25.5" customHeight="1">
      <c r="A46" s="456">
        <f>IF((تسعير!T46="A"),0,IF((تسعير!T46="B"),(G52+G48+G30+G29+G28)))</f>
        <v>0</v>
      </c>
      <c r="B46" s="319">
        <v>1</v>
      </c>
      <c r="C46" s="320" t="s">
        <v>149</v>
      </c>
      <c r="D46" s="319">
        <v>20</v>
      </c>
      <c r="E46" s="276">
        <f>Table12[[#This Row],[سعر]]*Table12[[#This Row],[ميزان]]*Table12[[#This Row],[عدد]]</f>
        <v>0</v>
      </c>
      <c r="U46" s="444"/>
    </row>
    <row r="47" ht="25.5" customHeight="1">
      <c r="A47" s="456">
        <f>IF((تسعير!T53="بالتات"),0,(A28+A29))</f>
        <v>2</v>
      </c>
      <c r="B47" s="319">
        <v>1</v>
      </c>
      <c r="C47" s="320" t="s">
        <v>389</v>
      </c>
      <c r="D47" s="319">
        <v>800</v>
      </c>
      <c r="E47" s="440">
        <f>Table12[[#This Row],[سعر]]*Table12[[#This Row],[ميزان]]*Table12[[#This Row],[عدد]]</f>
        <v>1600</v>
      </c>
      <c r="J47" s="233" t="s">
        <v>43</v>
      </c>
      <c r="K47" s="205" t="s">
        <v>185</v>
      </c>
      <c r="L47" s="205" t="s">
        <v>186</v>
      </c>
      <c r="M47" s="205" t="s">
        <v>133</v>
      </c>
      <c r="N47" s="205" t="s">
        <v>64</v>
      </c>
      <c r="U47" s="444"/>
    </row>
    <row r="48" ht="25.5" customHeight="1">
      <c r="A48" s="456">
        <f>IF((تسعير!T53="بالتات"),(A28+A29),0)</f>
        <v>0</v>
      </c>
      <c r="B48" s="319">
        <v>30</v>
      </c>
      <c r="C48" s="320" t="s">
        <v>390</v>
      </c>
      <c r="D48" s="319">
        <f>Sheet2!B12/1000</f>
        <v>46</v>
      </c>
      <c r="E48" s="440">
        <f>Table12[[#This Row],[سعر]]*Table12[[#This Row],[ميزان]]*Table12[[#This Row],[عدد]]</f>
        <v>0</v>
      </c>
      <c r="F48" s="275">
        <f>0.5*0.5*Table12[[#This Row],[عدد]]</f>
        <v>0</v>
      </c>
      <c r="G48" s="275">
        <f>Table12[[#This Row],[ميزان]]*Table12[[#This Row],[عدد]]</f>
        <v>0</v>
      </c>
      <c r="J48" s="219" t="s">
        <v>391</v>
      </c>
      <c r="K48" s="204"/>
      <c r="L48" s="205"/>
      <c r="M48" s="370"/>
      <c r="N48" s="204">
        <f>IF((تسعير!T52='شماسي و كانتليفر'!F19),(N49-E28-E47-Table12[[#This Row],[Column5]]-E49-E50-E52-R42-R41-R39-(P31*K31)),0)</f>
        <v>23358</v>
      </c>
      <c r="U48" s="444"/>
    </row>
    <row r="49" ht="25.5" customHeight="1">
      <c r="A49" s="456">
        <f>A48*2</f>
        <v>0</v>
      </c>
      <c r="B49" s="319">
        <v>1</v>
      </c>
      <c r="C49" s="320" t="s">
        <v>392</v>
      </c>
      <c r="D49" s="319">
        <v>250</v>
      </c>
      <c r="E49" s="440">
        <f>Table12[[#This Row],[سعر]]*Table12[[#This Row],[ميزان]]*Table12[[#This Row],[عدد]]</f>
        <v>0</v>
      </c>
      <c r="J49" s="450" t="s">
        <v>393</v>
      </c>
      <c r="K49" s="204"/>
      <c r="L49" s="205"/>
      <c r="M49" s="370"/>
      <c r="N49" s="251">
        <f>Table12[[#Totals],[Column5]]+Table161243[[#Totals],[اجمالي]]</f>
        <v>42724</v>
      </c>
      <c r="U49" s="444"/>
    </row>
    <row r="50" ht="25.5" customHeight="1">
      <c r="A50" s="456">
        <f>A47*2</f>
        <v>4</v>
      </c>
      <c r="B50" s="319">
        <v>10</v>
      </c>
      <c r="C50" s="320" t="s">
        <v>394</v>
      </c>
      <c r="D50" s="319">
        <f>Sheet2!B12/1000</f>
        <v>46</v>
      </c>
      <c r="E50" s="440">
        <f>Table12[[#This Row],[سعر]]*Table12[[#This Row],[ميزان]]*Table12[[#This Row],[عدد]]</f>
        <v>1840</v>
      </c>
      <c r="J50" s="219" t="s">
        <v>187</v>
      </c>
      <c r="K50" s="204"/>
      <c r="L50" s="205"/>
      <c r="M50" s="370"/>
      <c r="N50" s="251">
        <f>N49+N48</f>
        <v>66082</v>
      </c>
      <c r="U50" s="444"/>
    </row>
    <row r="51" ht="25.5" customHeight="1">
      <c r="A51" s="456">
        <f>ROUND((F29+F30)*0.4/3,0)</f>
        <v>0</v>
      </c>
      <c r="B51" s="319">
        <v>1</v>
      </c>
      <c r="C51" s="320" t="s">
        <v>113</v>
      </c>
      <c r="D51" s="319">
        <v>350</v>
      </c>
      <c r="E51" s="440">
        <f>Table12[[#This Row],[سعر]]*Table12[[#This Row],[ميزان]]*Table12[[#This Row],[عدد]]</f>
        <v>0</v>
      </c>
      <c r="J51" s="219" t="s">
        <v>188</v>
      </c>
      <c r="K51" s="204"/>
      <c r="L51" s="205"/>
      <c r="M51" s="242">
        <f>IF((M40="المقطم"),0.3,IF((M40="التجمع"),0.3,IF((M40="الشيخ زايد"),0.3,IF((M40="الاسكندرية"),0.5,IF((M40="الساحل"),0.5,0.35)))))</f>
        <v>0.3</v>
      </c>
      <c r="N51" s="251">
        <f>N50*(1+Table1856[[#This Row],[Column3]])</f>
        <v>85906.6</v>
      </c>
      <c r="U51" s="444"/>
    </row>
    <row r="52" ht="25.5" customHeight="1">
      <c r="A52" s="456">
        <f>A48*4</f>
        <v>0</v>
      </c>
      <c r="B52" s="319">
        <v>1</v>
      </c>
      <c r="C52" s="320" t="s">
        <v>395</v>
      </c>
      <c r="D52" s="319">
        <f>Sheet2!B12/1000</f>
        <v>46</v>
      </c>
      <c r="E52" s="440">
        <f>Table12[[#This Row],[سعر]]*Table12[[#This Row],[ميزان]]*Table12[[#This Row],[عدد]]</f>
        <v>0</v>
      </c>
      <c r="F52" s="275">
        <f>0.15*0.15/2*Table12[[#This Row],[عدد]]</f>
        <v>0</v>
      </c>
      <c r="G52" s="275">
        <f>Table12[[#This Row],[ميزان]]*Table12[[#This Row],[عدد]]</f>
        <v>0</v>
      </c>
      <c r="U52" s="444"/>
    </row>
    <row r="53" ht="25.5" customHeight="1">
      <c r="A53" s="456">
        <f>ROUND((F29+F30)*0.4/3,0)</f>
        <v>0</v>
      </c>
      <c r="B53" s="319">
        <v>1</v>
      </c>
      <c r="C53" s="320" t="s">
        <v>396</v>
      </c>
      <c r="D53" s="319">
        <v>200</v>
      </c>
      <c r="E53" s="440">
        <f>Table12[[#This Row],[سعر]]*Table12[[#This Row],[ميزان]]*Table12[[#This Row],[عدد]]</f>
        <v>0</v>
      </c>
      <c r="U53" s="444"/>
    </row>
    <row r="54">
      <c r="A54" s="457" t="s">
        <v>88</v>
      </c>
      <c r="E54" s="440">
        <f>SUBTOTAL(109,Table12[Column5])</f>
        <v>26949</v>
      </c>
      <c r="F54" s="451">
        <f>Table12[[#Totals],[Column5]]/(تسعير!T54*تسعير!T55/10000)</f>
        <v>1077.96</v>
      </c>
      <c r="G54" s="275">
        <f>SUBTOTAL(103,Table12[Column7])</f>
        <v>8</v>
      </c>
      <c r="U54" s="444"/>
    </row>
    <row r="55">
      <c r="A55" s="458"/>
      <c r="U55" s="444"/>
    </row>
    <row r="56">
      <c r="A56" s="458"/>
      <c r="U56" s="444"/>
    </row>
    <row r="57">
      <c r="A57" s="458"/>
      <c r="U57" s="444"/>
    </row>
    <row r="58" ht="15.75">
      <c r="A58" s="459"/>
      <c r="B58" s="460"/>
      <c r="C58" s="460"/>
      <c r="D58" s="460"/>
      <c r="E58" s="461"/>
      <c r="F58" s="460"/>
      <c r="G58" s="460"/>
      <c r="H58" s="460"/>
      <c r="I58" s="460"/>
      <c r="J58" s="460"/>
      <c r="K58" s="460"/>
      <c r="L58" s="442"/>
      <c r="M58" s="442"/>
      <c r="N58" s="442"/>
      <c r="O58" s="442"/>
      <c r="P58" s="442"/>
      <c r="Q58" s="442"/>
      <c r="R58" s="442"/>
      <c r="S58" s="442"/>
      <c r="T58" s="442"/>
      <c r="U58" s="443"/>
    </row>
    <row r="59">
      <c r="A59" s="313"/>
      <c r="B59" s="314"/>
      <c r="C59" s="314"/>
      <c r="D59" s="314"/>
      <c r="E59" s="315"/>
      <c r="F59" s="314"/>
      <c r="G59" s="314"/>
      <c r="H59" s="314"/>
      <c r="I59" s="314"/>
      <c r="J59" s="314"/>
      <c r="K59" s="314"/>
      <c r="L59" s="300"/>
      <c r="M59" s="300"/>
      <c r="N59" s="300"/>
      <c r="O59" s="300"/>
      <c r="P59" s="301"/>
      <c r="R59" s="302"/>
    </row>
    <row r="60">
      <c r="A60" s="452" t="s">
        <v>62</v>
      </c>
      <c r="B60" s="453" t="s">
        <v>316</v>
      </c>
      <c r="C60" s="453" t="s">
        <v>63</v>
      </c>
      <c r="D60" s="453" t="s">
        <v>377</v>
      </c>
      <c r="E60" s="454" t="s">
        <v>285</v>
      </c>
      <c r="F60" s="453" t="s">
        <v>378</v>
      </c>
      <c r="G60" s="453" t="s">
        <v>279</v>
      </c>
      <c r="H60" s="453"/>
      <c r="I60" s="453"/>
      <c r="J60" s="453"/>
      <c r="K60" s="453"/>
      <c r="L60" s="445"/>
      <c r="M60" s="445"/>
      <c r="N60" s="445"/>
      <c r="O60" s="445"/>
      <c r="P60" s="445"/>
      <c r="Q60" s="445"/>
      <c r="R60" s="445"/>
      <c r="S60" s="445"/>
      <c r="T60" s="445"/>
    </row>
    <row r="61" ht="18.75">
      <c r="A61" s="463">
        <f>IF((تسعير!T71="بالتات"),0,(تسعير!T65+1))</f>
        <v>2</v>
      </c>
      <c r="B61" s="319">
        <v>78</v>
      </c>
      <c r="C61" s="320" t="s">
        <v>379</v>
      </c>
      <c r="D61" s="319">
        <f>Sheet2!$B$12/1000</f>
        <v>46</v>
      </c>
      <c r="E61" s="276">
        <f>Table1257[[#This Row],[سعر]]*Table1257[[#This Row],[ميزان]]*Table1257[[#This Row],[عدد]]</f>
        <v>7176</v>
      </c>
      <c r="F61" s="275">
        <f>16*3.14*Table1257[[#This Row],[عدد]]*0.05</f>
        <v>5.0240000000000009</v>
      </c>
      <c r="G61" s="275">
        <f>Table1257[[#This Row],[ميزان]]*Table1257[[#This Row],[عدد]]</f>
        <v>156</v>
      </c>
    </row>
    <row r="62" ht="18.75">
      <c r="A62" s="463">
        <f>IF((تسعير!T71="بالتات"),(تسعير!T65+1),0)</f>
        <v>0</v>
      </c>
      <c r="B62" s="319">
        <v>62</v>
      </c>
      <c r="C62" s="320" t="s">
        <v>380</v>
      </c>
      <c r="D62" s="319">
        <f>Sheet2!$B$12/1000</f>
        <v>46</v>
      </c>
      <c r="E62" s="276">
        <f>Table1257[[#This Row],[سعر]]*Table1257[[#This Row],[ميزان]]*Table1257[[#This Row],[عدد]]</f>
        <v>0</v>
      </c>
      <c r="F62" s="438">
        <f>16*3.14*Table1257[[#This Row],[عدد]]*0.04</f>
        <v>0</v>
      </c>
      <c r="G62" s="275">
        <f>Table1257[[#This Row],[ميزان]]*Table1257[[#This Row],[عدد]]</f>
        <v>0</v>
      </c>
      <c r="I62" s="203"/>
      <c r="J62" s="203"/>
      <c r="K62" s="231"/>
      <c r="L62" s="629" t="s">
        <v>166</v>
      </c>
      <c r="M62" s="629"/>
      <c r="N62" s="629"/>
      <c r="O62" s="629"/>
      <c r="P62" s="629"/>
      <c r="Q62" s="629"/>
      <c r="R62" s="203"/>
      <c r="S62" s="203"/>
      <c r="T62" s="203"/>
    </row>
    <row r="63" ht="18.75">
      <c r="A63" s="463">
        <f>A61+A62</f>
        <v>2</v>
      </c>
      <c r="B63" s="319">
        <v>28</v>
      </c>
      <c r="C63" s="320" t="s">
        <v>381</v>
      </c>
      <c r="D63" s="319">
        <f>Sheet2!$B$12/1000</f>
        <v>46</v>
      </c>
      <c r="E63" s="276">
        <f>Table1257[[#This Row],[سعر]]*Table1257[[#This Row],[ميزان]]*Table1257[[#This Row],[عدد]]</f>
        <v>2576</v>
      </c>
      <c r="F63" s="275">
        <f>3*6*Table1257[[#This Row],[عدد]]/10</f>
        <v>3.6</v>
      </c>
      <c r="G63" s="275">
        <f>Table1257[[#This Row],[ميزان]]*Table1257[[#This Row],[عدد]]</f>
        <v>56</v>
      </c>
      <c r="I63" s="205" t="s">
        <v>62</v>
      </c>
      <c r="J63" s="233" t="s">
        <v>63</v>
      </c>
      <c r="K63" s="205" t="s">
        <v>167</v>
      </c>
      <c r="L63" s="205" t="s">
        <v>46</v>
      </c>
      <c r="M63" s="205" t="s">
        <v>168</v>
      </c>
      <c r="N63" s="205" t="s">
        <v>169</v>
      </c>
      <c r="O63" s="205" t="s">
        <v>95</v>
      </c>
      <c r="P63" s="205" t="s">
        <v>170</v>
      </c>
      <c r="Q63" s="205" t="s">
        <v>171</v>
      </c>
      <c r="R63" s="234" t="s">
        <v>70</v>
      </c>
      <c r="S63" s="205" t="s">
        <v>71</v>
      </c>
    </row>
    <row r="64" ht="21">
      <c r="A64" s="463">
        <f>A63+تسعير!T65*4</f>
        <v>6</v>
      </c>
      <c r="B64" s="319">
        <v>15</v>
      </c>
      <c r="C64" s="320" t="s">
        <v>383</v>
      </c>
      <c r="D64" s="319">
        <f>(Sheet2!B12/1000)+12</f>
        <v>58</v>
      </c>
      <c r="E64" s="276">
        <f>Table1257[[#This Row],[سعر]]*Table1257[[#This Row],[ميزان]]*Table1257[[#This Row],[عدد]]</f>
        <v>5220</v>
      </c>
      <c r="F64" s="275">
        <f>16*3.14*Table1257[[#This Row],[عدد]]</f>
        <v>301.44</v>
      </c>
      <c r="I64" s="218">
        <v>4</v>
      </c>
      <c r="J64" s="449" t="s">
        <v>172</v>
      </c>
      <c r="K64" s="205">
        <f>IF((Table16124360[[#This Row],[موقع العمل]]="المصنع"),150,IF((Table16124360[[#This Row],[موقع العمل]]="الاسكندرية"),160,200))</f>
        <v>150</v>
      </c>
      <c r="L64" s="205">
        <f>SUMIF(Table17[Column1],Table16124360[[#This Row],[موقع العمل]],Table17[بدل الوجبة])</f>
        <v>0</v>
      </c>
      <c r="M64" s="205" t="s">
        <v>173</v>
      </c>
      <c r="N64" s="204" t="s">
        <v>73</v>
      </c>
      <c r="O64" s="203"/>
      <c r="P64" s="201">
        <f>IF(AND((تسعير!T65&gt;=1),(3.1&gt;تسعير!T65)),1,IF(AND((تسعير!T65&gt;=4),(6.1&gt;تسعير!T65)),2,0))</f>
        <v>1</v>
      </c>
      <c r="Q64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4" s="221">
        <f>Table16124360[[#This Row],[عدد]]*Q64</f>
        <v>600</v>
      </c>
      <c r="S64" s="222" t="e">
        <f ref="S64:S76" t="shared" si="5">(R64)/$G$84</f>
        <v>#DIV/0!</v>
      </c>
    </row>
    <row r="65" ht="21">
      <c r="A65" s="463">
        <f>تسعير!T65*4</f>
        <v>4</v>
      </c>
      <c r="B65" s="319">
        <v>23</v>
      </c>
      <c r="C65" s="320" t="s">
        <v>397</v>
      </c>
      <c r="D65" s="319">
        <f>(Sheet2!B12/1000)+12</f>
        <v>58</v>
      </c>
      <c r="E65" s="276">
        <f>Table1257[[#This Row],[سعر]]*Table1257[[#This Row],[ميزان]]*Table1257[[#This Row],[عدد]]</f>
        <v>5336</v>
      </c>
      <c r="I65" s="218">
        <v>2</v>
      </c>
      <c r="J65" s="449" t="s">
        <v>174</v>
      </c>
      <c r="K65" s="205">
        <f>IF((Table16124360[[#This Row],[موقع العمل]]="المصنع"),150,IF((Table16124360[[#This Row],[موقع العمل]]="الاسكندرية"),160,200))</f>
        <v>150</v>
      </c>
      <c r="L65" s="205">
        <f>SUMIF(Table17[Column1],Table16124360[[#This Row],[موقع العمل]],Table17[بدل الوجبة])</f>
        <v>0</v>
      </c>
      <c r="M65" s="205" t="s">
        <v>173</v>
      </c>
      <c r="N65" s="204" t="s">
        <v>73</v>
      </c>
      <c r="O65" s="203"/>
      <c r="P65" s="201">
        <f>IF(AND((تسعير!T65&gt;=1),(3.1&gt;تسعير!T65)),1,IF(AND((تسعير!T65&gt;=4),(6.1&gt;تسعير!T65)),2,0))</f>
        <v>1</v>
      </c>
      <c r="Q65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5" s="221">
        <f>Table16124360[[#This Row],[عدد]]*Q65</f>
        <v>300</v>
      </c>
      <c r="S65" s="222" t="e">
        <f t="shared" si="5"/>
        <v>#DIV/0!</v>
      </c>
    </row>
    <row r="66" ht="21">
      <c r="A66" s="463">
        <f>A63</f>
        <v>2</v>
      </c>
      <c r="B66" s="319">
        <v>1</v>
      </c>
      <c r="C66" s="320" t="s">
        <v>385</v>
      </c>
      <c r="D66" s="319">
        <v>100</v>
      </c>
      <c r="E66" s="276">
        <f>Table1257[[#This Row],[سعر]]*Table1257[[#This Row],[ميزان]]*Table1257[[#This Row],[عدد]]</f>
        <v>200</v>
      </c>
      <c r="I66" s="218">
        <v>3</v>
      </c>
      <c r="J66" s="449" t="s">
        <v>175</v>
      </c>
      <c r="K66" s="205">
        <f>IF((Table16124360[[#This Row],[موقع العمل]]="المصنع"),150,IF((Table16124360[[#This Row],[موقع العمل]]="الاسكندرية"),160,200))</f>
        <v>150</v>
      </c>
      <c r="L66" s="205">
        <f>SUMIF(Table17[Column1],Table16124360[[#This Row],[موقع العمل]],Table17[بدل الوجبة])</f>
        <v>0</v>
      </c>
      <c r="M66" s="205" t="s">
        <v>173</v>
      </c>
      <c r="N66" s="204" t="s">
        <v>73</v>
      </c>
      <c r="O66" s="203"/>
      <c r="P66" s="201">
        <f>IF(AND((تسعير!T65&gt;=1),(3.1&gt;تسعير!T65)),1,IF(AND((تسعير!T65&gt;=4),(6.1&gt;تسعير!T65)),2,0))</f>
        <v>1</v>
      </c>
      <c r="Q66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150</v>
      </c>
      <c r="R66" s="221">
        <f>Table16124360[[#This Row],[عدد]]*Q66</f>
        <v>450</v>
      </c>
      <c r="S66" s="222" t="e">
        <f t="shared" si="5"/>
        <v>#DIV/0!</v>
      </c>
    </row>
    <row r="67" ht="21">
      <c r="A67" s="463">
        <f>(A64+A65)*2</f>
        <v>20</v>
      </c>
      <c r="B67" s="319">
        <v>1</v>
      </c>
      <c r="C67" s="320" t="s">
        <v>386</v>
      </c>
      <c r="D67" s="319">
        <v>50</v>
      </c>
      <c r="E67" s="276">
        <f>Table1257[[#This Row],[سعر]]*Table1257[[#This Row],[ميزان]]*Table1257[[#This Row],[عدد]]</f>
        <v>1000</v>
      </c>
      <c r="I67" s="218">
        <v>0</v>
      </c>
      <c r="J67" s="449" t="s">
        <v>176</v>
      </c>
      <c r="K67" s="205">
        <f>IF((Table16124360[[#This Row],[موقع العمل]]="المصنع"),150,IF((Table16124360[[#This Row],[موقع العمل]]="الاسكندرية"),160,200))</f>
        <v>150</v>
      </c>
      <c r="L67" s="205">
        <f>SUMIF(Table17[Column1],Table16124360[[#This Row],[موقع العمل]],Table17[بدل الوجبة])</f>
        <v>0</v>
      </c>
      <c r="M67" s="205" t="s">
        <v>173</v>
      </c>
      <c r="N67" s="204" t="s">
        <v>73</v>
      </c>
      <c r="O67" s="203"/>
      <c r="P67" s="218">
        <v>0</v>
      </c>
      <c r="Q67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21">
        <f>Table16124360[[#This Row],[عدد]]*Q67</f>
        <v>0</v>
      </c>
      <c r="S67" s="222" t="e">
        <f t="shared" si="5"/>
        <v>#DIV/0!</v>
      </c>
    </row>
    <row r="68" ht="21">
      <c r="A68" s="463">
        <f>تسعير!T65*4</f>
        <v>4</v>
      </c>
      <c r="B68" s="319">
        <v>1</v>
      </c>
      <c r="C68" s="320" t="s">
        <v>387</v>
      </c>
      <c r="D68" s="319">
        <v>50</v>
      </c>
      <c r="E68" s="276">
        <f>Table1257[[#This Row],[سعر]]*Table1257[[#This Row],[ميزان]]*Table1257[[#This Row],[عدد]]</f>
        <v>200</v>
      </c>
      <c r="I68" s="218">
        <v>4</v>
      </c>
      <c r="J68" s="449" t="s">
        <v>177</v>
      </c>
      <c r="K68" s="205">
        <f>IF((Table16124360[[#This Row],[موقع العمل]]="المصنع"),150,IF((Table16124360[[#This Row],[موقع العمل]]="الاسكندرية"),160,200))</f>
        <v>200</v>
      </c>
      <c r="L68" s="205">
        <f>SUMIF(Table17[Column1],Table16124360[[#This Row],[موقع العمل]],Table17[بدل الوجبة])</f>
        <v>75</v>
      </c>
      <c r="M68" s="205" t="str">
        <f>تسعير!$T$63</f>
        <v>الشيخ زايد</v>
      </c>
      <c r="N68" s="204" t="s">
        <v>73</v>
      </c>
      <c r="O68" s="203"/>
      <c r="P68" s="218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825</v>
      </c>
      <c r="R68" s="221">
        <f>Table16124360[[#This Row],[عدد]]*Q68</f>
        <v>3300</v>
      </c>
      <c r="S68" s="222" t="e">
        <f t="shared" si="5"/>
        <v>#DIV/0!</v>
      </c>
    </row>
    <row r="69" ht="21">
      <c r="A69" s="463">
        <f>تسعير!T65</f>
        <v>1</v>
      </c>
      <c r="B69" s="319">
        <v>1</v>
      </c>
      <c r="C69" s="320" t="s">
        <v>351</v>
      </c>
      <c r="D69" s="319">
        <v>100</v>
      </c>
      <c r="E69" s="276">
        <f>Table1257[[#This Row],[سعر]]*Table1257[[#This Row],[ميزان]]*Table1257[[#This Row],[عدد]]</f>
        <v>100</v>
      </c>
      <c r="F69" s="275">
        <f>16*3.14*Table1257[[#This Row],[عدد]]</f>
        <v>50.24</v>
      </c>
      <c r="I69" s="218">
        <v>3</v>
      </c>
      <c r="J69" s="449" t="s">
        <v>178</v>
      </c>
      <c r="K69" s="205">
        <f>IF((Table16124360[[#This Row],[موقع العمل]]="المصنع"),150,IF((Table16124360[[#This Row],[موقع العمل]]="الاسكندرية"),160,200))</f>
        <v>200</v>
      </c>
      <c r="L69" s="205">
        <f>SUMIF(Table17[Column1],Table16124360[[#This Row],[موقع العمل]],Table17[بدل الوجبة])</f>
        <v>75</v>
      </c>
      <c r="M69" s="205" t="str">
        <f>تسعير!$T$63</f>
        <v>الشيخ زايد</v>
      </c>
      <c r="N69" s="204" t="s">
        <v>73</v>
      </c>
      <c r="O69" s="203"/>
      <c r="P69" s="218">
        <f>IF(AND((تسعير!T65&gt;=1),(3.1&gt;تسعير!T65)),2,IF(AND((تسعير!T65&lt;=4),(6.1&gt;تسعير!T65)),3,0))</f>
        <v>2</v>
      </c>
      <c r="Q69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69" s="221">
        <f>Table16124360[[#This Row],[عدد]]*Q69</f>
        <v>1650</v>
      </c>
      <c r="S69" s="222" t="e">
        <f t="shared" si="5"/>
        <v>#DIV/0!</v>
      </c>
    </row>
    <row r="70" ht="21">
      <c r="A70" s="463">
        <f>تسعير!T65*36</f>
        <v>36</v>
      </c>
      <c r="B70" s="319">
        <v>1</v>
      </c>
      <c r="C70" s="320" t="s">
        <v>388</v>
      </c>
      <c r="D70" s="319">
        <v>110</v>
      </c>
      <c r="E70" s="276">
        <f>Table1257[[#This Row],[سعر]]*Table1257[[#This Row],[ميزان]]*Table1257[[#This Row],[عدد]]</f>
        <v>3960</v>
      </c>
      <c r="I70" s="218">
        <v>3</v>
      </c>
      <c r="J70" s="449" t="s">
        <v>179</v>
      </c>
      <c r="K70" s="205">
        <f>IF((Table16124360[[#This Row],[موقع العمل]]="المصنع"),150,IF((Table16124360[[#This Row],[موقع العمل]]="الاسكندرية"),160,200))</f>
        <v>200</v>
      </c>
      <c r="L70" s="205">
        <f>SUMIF(Table17[Column1],Table16124360[[#This Row],[موقع العمل]],Table17[بدل الوجبة])</f>
        <v>75</v>
      </c>
      <c r="M70" s="205" t="str">
        <f>تسعير!$T$63</f>
        <v>الشيخ زايد</v>
      </c>
      <c r="N70" s="204" t="s">
        <v>73</v>
      </c>
      <c r="O70" s="203"/>
      <c r="P70" s="218">
        <f>IF(AND((تسعير!T65&gt;=1),(2.1&gt;تسعير!T65)),1,IF(AND((تسعير!T65&gt;=3),(4.1&gt;تسعير!T65)),2,IF(AND((تسعير!T65&gt;=5),(6.1&gt;تسعير!T65)),3,0)))</f>
        <v>1</v>
      </c>
      <c r="Q70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275</v>
      </c>
      <c r="R70" s="221">
        <f>Table16124360[[#This Row],[عدد]]*Q70</f>
        <v>825</v>
      </c>
      <c r="S70" s="222" t="e">
        <f t="shared" si="5"/>
        <v>#DIV/0!</v>
      </c>
    </row>
    <row r="71" ht="21">
      <c r="A71" s="464">
        <f>IF((تسعير!T64="A"),Table1257[[#This Row],[Column7]],IF((تسعير!T64="B"),Table1257[[#This Row],[Column6]]))</f>
        <v>3.4</v>
      </c>
      <c r="B71" s="319">
        <v>1</v>
      </c>
      <c r="C71" s="320" t="s">
        <v>148</v>
      </c>
      <c r="D71" s="319">
        <v>400</v>
      </c>
      <c r="E71" s="440">
        <f>Table1257[[#This Row],[سعر]]*Table1257[[#This Row],[ميزان]]*Table1257[[#This Row],[عدد]]</f>
        <v>1360</v>
      </c>
      <c r="F71" s="275">
        <f>ROUND((Table1257[[#This Row],[Column7]]*1.8),1)</f>
        <v>6.1</v>
      </c>
      <c r="G71" s="439">
        <f>ROUND((F62+F63+F61+F82+F86)*0.4,1)</f>
        <v>3.4</v>
      </c>
      <c r="I71" s="218">
        <v>0</v>
      </c>
      <c r="J71" s="449" t="s">
        <v>180</v>
      </c>
      <c r="K71" s="205">
        <f>IF((Table16124360[[#This Row],[موقع العمل]]="المصنع"),150,IF((Table16124360[[#This Row],[موقع العمل]]="الاسكندرية"),160,200))</f>
        <v>200</v>
      </c>
      <c r="L71" s="205">
        <f>SUMIF(Table17[Column1],Table16124360[[#This Row],[موقع العمل]],Table17[بدل الوجبة])</f>
        <v>75</v>
      </c>
      <c r="M71" s="205" t="str">
        <f>تسعير!$T$63</f>
        <v>الشيخ زايد</v>
      </c>
      <c r="N71" s="204" t="s">
        <v>73</v>
      </c>
      <c r="O71" s="203"/>
      <c r="P71" s="218">
        <v>0</v>
      </c>
      <c r="Q71" s="220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21">
        <f>Table16124360[[#This Row],[عدد]]*Q71</f>
        <v>0</v>
      </c>
      <c r="S71" s="222" t="e">
        <f t="shared" si="5"/>
        <v>#DIV/0!</v>
      </c>
    </row>
    <row r="72" ht="21">
      <c r="A72" s="464">
        <f>IF((تسعير!T64="A"),Table1257[[#This Row],[Column7]],IF((تسعير!T64="B"),Table1257[[#This Row],[Column6]]))</f>
        <v>3.4</v>
      </c>
      <c r="B72" s="319">
        <v>1</v>
      </c>
      <c r="C72" s="320" t="s">
        <v>147</v>
      </c>
      <c r="D72" s="319">
        <v>140</v>
      </c>
      <c r="E72" s="440">
        <f>Table1257[[#This Row],[سعر]]*Table1257[[#This Row],[ميزان]]*Table1257[[#This Row],[عدد]]</f>
        <v>476</v>
      </c>
      <c r="F72" s="275">
        <f>ROUND((Table1257[[#This Row],[Column7]]*1.8),1)</f>
        <v>6.1</v>
      </c>
      <c r="G72" s="439">
        <f>ROUND((F62+F63+F61+F82+F86)*0.4,1)</f>
        <v>3.4</v>
      </c>
      <c r="I72" s="218">
        <f>(I68+I69+I70+I71)*2</f>
        <v>20</v>
      </c>
      <c r="J72" s="449" t="s">
        <v>181</v>
      </c>
      <c r="K72" s="205"/>
      <c r="L72" s="205"/>
      <c r="M72" s="205" t="str">
        <f>تسعير!$T$63</f>
        <v>الشيخ زايد</v>
      </c>
      <c r="N72" s="204"/>
      <c r="O72" s="230">
        <f>SUMIF(Table17[Column1],Table16124360[[#This Row],[موقع العمل]],Table17[خارجي])</f>
        <v>120</v>
      </c>
      <c r="P72" s="230"/>
      <c r="Q72" s="220">
        <f>Table16124360[[#This Row],[Column12]]</f>
        <v>120</v>
      </c>
      <c r="R72" s="221">
        <f ref="R72:R76" t="shared" si="6">I72*Q72</f>
        <v>2400</v>
      </c>
      <c r="S72" s="222" t="e">
        <f t="shared" si="5"/>
        <v>#DIV/0!</v>
      </c>
    </row>
    <row r="73" ht="21">
      <c r="A73" s="464">
        <f>IF((تسعير!T64="A"),Table1257[[#This Row],[Column7]],IF((تسعير!T64="B"),Table1257[[#This Row],[Column6]]))</f>
        <v>3.4</v>
      </c>
      <c r="B73" s="319">
        <v>1</v>
      </c>
      <c r="C73" s="320" t="s">
        <v>79</v>
      </c>
      <c r="D73" s="319">
        <v>40</v>
      </c>
      <c r="E73" s="440">
        <f>Table1257[[#This Row],[سعر]]*Table1257[[#This Row],[ميزان]]*Table1257[[#This Row],[عدد]]</f>
        <v>136</v>
      </c>
      <c r="F73" s="275">
        <f>ROUND((Table1257[[#This Row],[Column7]]*1.8),1)</f>
        <v>6.1</v>
      </c>
      <c r="G73" s="439">
        <f>ROUND((F62+F63+F61+F82+F86)*0.4,1)</f>
        <v>3.4</v>
      </c>
      <c r="I73" s="218">
        <f>((P68+P69+P70+P71)*2)-2</f>
        <v>10</v>
      </c>
      <c r="J73" s="449" t="s">
        <v>182</v>
      </c>
      <c r="K73" s="205"/>
      <c r="L73" s="205"/>
      <c r="M73" s="205" t="str">
        <f>تسعير!$T$63</f>
        <v>الشيخ زايد</v>
      </c>
      <c r="N73" s="204"/>
      <c r="O73" s="230">
        <f>SUMIF(Table17[Column1],Table16124360[[#This Row],[موقع العمل]],Table17[داخلي])</f>
        <v>200</v>
      </c>
      <c r="P73" s="230"/>
      <c r="Q73" s="220">
        <f>Table16124360[[#This Row],[Column12]]</f>
        <v>200</v>
      </c>
      <c r="R73" s="221">
        <f t="shared" si="6"/>
        <v>2000</v>
      </c>
      <c r="S73" s="222" t="e">
        <f t="shared" si="5"/>
        <v>#DIV/0!</v>
      </c>
    </row>
    <row r="74" ht="21">
      <c r="A74" s="464">
        <f>ROUND((F62+F63)*0.4/3,0)</f>
        <v>0</v>
      </c>
      <c r="B74" s="319">
        <v>1</v>
      </c>
      <c r="C74" s="320" t="s">
        <v>144</v>
      </c>
      <c r="D74" s="319">
        <v>250</v>
      </c>
      <c r="E74" s="440">
        <f>Table1257[[#This Row],[سعر]]*Table1257[[#This Row],[ميزان]]*Table1257[[#This Row],[عدد]]</f>
        <v>0</v>
      </c>
      <c r="I74" s="218">
        <v>2</v>
      </c>
      <c r="J74" s="449" t="s">
        <v>183</v>
      </c>
      <c r="K74" s="205"/>
      <c r="L74" s="205"/>
      <c r="M74" s="205" t="str">
        <f>تسعير!$T$63</f>
        <v>الشيخ زايد</v>
      </c>
      <c r="N74" s="204"/>
      <c r="O74" s="230">
        <f>SUMIF(Table17[Column1],Table16124360[[#This Row],[موقع العمل]],Table17[دبابة])</f>
        <v>1100</v>
      </c>
      <c r="P74" s="230"/>
      <c r="Q74" s="220">
        <f>Table16124360[[#This Row],[Column12]]</f>
        <v>1100</v>
      </c>
      <c r="R74" s="221">
        <f t="shared" si="6"/>
        <v>2200</v>
      </c>
      <c r="S74" s="222" t="e">
        <f t="shared" si="5"/>
        <v>#DIV/0!</v>
      </c>
    </row>
    <row r="75" ht="21">
      <c r="A75" s="464">
        <f>ROUND((F62+F63)*0.4,0)</f>
        <v>1</v>
      </c>
      <c r="B75" s="319">
        <v>1</v>
      </c>
      <c r="C75" s="320" t="s">
        <v>137</v>
      </c>
      <c r="D75" s="319">
        <v>18</v>
      </c>
      <c r="E75" s="440">
        <f>Table1257[[#This Row],[سعر]]*Table1257[[#This Row],[ميزان]]*Table1257[[#This Row],[عدد]]</f>
        <v>18</v>
      </c>
      <c r="I75" s="218">
        <v>2</v>
      </c>
      <c r="J75" s="449" t="s">
        <v>184</v>
      </c>
      <c r="K75" s="205"/>
      <c r="L75" s="205"/>
      <c r="M75" s="205" t="str">
        <f>تسعير!$T$63</f>
        <v>الشيخ زايد</v>
      </c>
      <c r="N75" s="204"/>
      <c r="O75" s="230">
        <f>SUMIF(Table17[Column1],Table16124360[[#This Row],[موقع العمل]],Table17[جامبو])</f>
        <v>2000</v>
      </c>
      <c r="P75" s="230"/>
      <c r="Q75" s="220">
        <f>Table16124360[[#This Row],[Column12]]</f>
        <v>2000</v>
      </c>
      <c r="R75" s="221">
        <f t="shared" si="6"/>
        <v>4000</v>
      </c>
      <c r="S75" s="222" t="e">
        <f t="shared" si="5"/>
        <v>#DIV/0!</v>
      </c>
    </row>
    <row r="76" ht="21">
      <c r="A76" s="464">
        <f>ROUND((F62+F63)*0.4,0)</f>
        <v>1</v>
      </c>
      <c r="B76" s="319">
        <v>1</v>
      </c>
      <c r="C76" s="320" t="s">
        <v>139</v>
      </c>
      <c r="D76" s="319">
        <v>18</v>
      </c>
      <c r="E76" s="440">
        <f>Table1257[[#This Row],[سعر]]*Table1257[[#This Row],[ميزان]]*Table1257[[#This Row],[عدد]]</f>
        <v>18</v>
      </c>
      <c r="I76" s="218">
        <f>I73</f>
        <v>10</v>
      </c>
      <c r="J76" s="449" t="s">
        <v>49</v>
      </c>
      <c r="K76" s="205"/>
      <c r="L76" s="205"/>
      <c r="M76" s="205" t="str">
        <f>تسعير!$T$63</f>
        <v>الشيخ زايد</v>
      </c>
      <c r="N76" s="204"/>
      <c r="O76" s="230">
        <f>SUMIF(Table17[Column1],Table16124360[[#This Row],[موقع العمل]],Table17[الاقامة])</f>
        <v>100</v>
      </c>
      <c r="P76" s="230"/>
      <c r="Q76" s="220">
        <f>Table16124360[[#This Row],[Column12]]</f>
        <v>100</v>
      </c>
      <c r="R76" s="221">
        <f t="shared" si="6"/>
        <v>1000</v>
      </c>
      <c r="S76" s="222" t="e">
        <f t="shared" si="5"/>
        <v>#DIV/0!</v>
      </c>
    </row>
    <row r="77" ht="18.75">
      <c r="A77" s="464">
        <f>ROUND((F62+F63)*0.4,0)</f>
        <v>1</v>
      </c>
      <c r="B77" s="319">
        <v>1</v>
      </c>
      <c r="C77" s="320" t="s">
        <v>140</v>
      </c>
      <c r="D77" s="319">
        <v>25</v>
      </c>
      <c r="E77" s="440">
        <f>Table1257[[#This Row],[سعر]]*Table1257[[#This Row],[ميزان]]*Table1257[[#This Row],[عدد]]</f>
        <v>25</v>
      </c>
      <c r="I77" s="560"/>
      <c r="J77" s="561" t="s">
        <v>88</v>
      </c>
      <c r="K77" s="559"/>
      <c r="L77" s="559"/>
      <c r="M77" s="562"/>
      <c r="N77" s="562"/>
      <c r="O77" s="563">
        <f>SUBTOTAL(109,Table16124360[Column12])</f>
        <v>3520</v>
      </c>
      <c r="P77" s="559"/>
      <c r="Q77" s="564"/>
      <c r="R77" s="565">
        <f>SUBTOTAL(109,Table16124360[اجمالي])</f>
        <v>18725</v>
      </c>
      <c r="S77" s="566" t="e">
        <f>Table16124360[[#Totals],[اجمالي]]/$G$84</f>
        <v>#DIV/0!</v>
      </c>
    </row>
    <row r="78" ht="18.75">
      <c r="A78" s="464">
        <f>ROUND((F62+F63)*0.4,0)</f>
        <v>1</v>
      </c>
      <c r="B78" s="319">
        <v>1</v>
      </c>
      <c r="C78" s="320" t="s">
        <v>142</v>
      </c>
      <c r="D78" s="319">
        <v>18</v>
      </c>
      <c r="E78" s="440">
        <f>Table1257[[#This Row],[سعر]]*Table1257[[#This Row],[ميزان]]*Table1257[[#This Row],[عدد]]</f>
        <v>18</v>
      </c>
      <c r="I78" s="218"/>
      <c r="J78" s="219"/>
      <c r="K78" s="205"/>
      <c r="L78" s="205"/>
      <c r="M78" s="204"/>
      <c r="N78" s="204"/>
      <c r="O78" s="203"/>
      <c r="P78" s="205"/>
      <c r="Q78" s="226"/>
      <c r="R78" s="221"/>
      <c r="S78" s="243"/>
    </row>
    <row r="79" ht="18.75">
      <c r="A79" s="464">
        <f>ROUND((F62+F63)*0.4/3,0)</f>
        <v>0</v>
      </c>
      <c r="B79" s="319">
        <v>1</v>
      </c>
      <c r="C79" s="320" t="s">
        <v>143</v>
      </c>
      <c r="D79" s="319">
        <v>40</v>
      </c>
      <c r="E79" s="440">
        <f>Table1257[[#This Row],[سعر]]*Table1257[[#This Row],[ميزان]]*Table1257[[#This Row],[عدد]]</f>
        <v>0</v>
      </c>
    </row>
    <row r="80" ht="18.75">
      <c r="A80" s="464">
        <f>IF((تسعير!T64="A"),0,IF((تسعير!T64="B"),(G86+G82+G63+G62+G61)))</f>
        <v>0</v>
      </c>
      <c r="B80" s="319">
        <v>1</v>
      </c>
      <c r="C80" s="320" t="s">
        <v>149</v>
      </c>
      <c r="D80" s="319">
        <v>20</v>
      </c>
      <c r="E80" s="276">
        <f>Table1257[[#This Row],[سعر]]*Table1257[[#This Row],[ميزان]]*Table1257[[#This Row],[عدد]]</f>
        <v>0</v>
      </c>
      <c r="J80" s="233" t="s">
        <v>43</v>
      </c>
      <c r="K80" s="205" t="s">
        <v>185</v>
      </c>
      <c r="L80" s="205" t="s">
        <v>186</v>
      </c>
      <c r="M80" s="205" t="s">
        <v>133</v>
      </c>
      <c r="N80" s="205" t="s">
        <v>64</v>
      </c>
    </row>
    <row r="81" ht="18.75">
      <c r="A81" s="464">
        <f>IF((تسعير!T71="بالتات"),0,(A61+A62))</f>
        <v>2</v>
      </c>
      <c r="B81" s="319">
        <v>1</v>
      </c>
      <c r="C81" s="320" t="s">
        <v>389</v>
      </c>
      <c r="D81" s="319">
        <v>800</v>
      </c>
      <c r="E81" s="440">
        <f>Table1257[[#This Row],[سعر]]*Table1257[[#This Row],[ميزان]]*Table1257[[#This Row],[عدد]]</f>
        <v>1600</v>
      </c>
      <c r="J81" s="219" t="s">
        <v>391</v>
      </c>
      <c r="K81" s="204"/>
      <c r="L81" s="205"/>
      <c r="M81" s="370"/>
      <c r="N81" s="204">
        <f>IF((تسعير!T70='شماسي و كانتليفر'!F19),(N82-E61-E81-Table1257[[#This Row],[Column5]]-E83-E84-E86-R75-R74-R72-(P64*K64)),0)</f>
        <v>29018</v>
      </c>
    </row>
    <row r="82" ht="18.75">
      <c r="A82" s="464">
        <f>IF((تسعير!T71="بالتات"),(A61+A62),0)</f>
        <v>0</v>
      </c>
      <c r="B82" s="319">
        <v>30</v>
      </c>
      <c r="C82" s="320" t="s">
        <v>390</v>
      </c>
      <c r="D82" s="319">
        <f>Sheet2!B12/1000</f>
        <v>46</v>
      </c>
      <c r="E82" s="440">
        <f>Table1257[[#This Row],[سعر]]*Table1257[[#This Row],[ميزان]]*Table1257[[#This Row],[عدد]]</f>
        <v>0</v>
      </c>
      <c r="F82" s="275">
        <f>0.5*0.5*Table1257[[#This Row],[عدد]]</f>
        <v>0</v>
      </c>
      <c r="G82" s="275">
        <f>Table1257[[#This Row],[ميزان]]*Table1257[[#This Row],[عدد]]</f>
        <v>0</v>
      </c>
      <c r="J82" s="450" t="s">
        <v>393</v>
      </c>
      <c r="K82" s="204"/>
      <c r="L82" s="205"/>
      <c r="M82" s="370"/>
      <c r="N82" s="251">
        <f>Table1257[[#Totals],[Column5]]+Table16124360[[#Totals],[اجمالي]]</f>
        <v>49524</v>
      </c>
    </row>
    <row r="83" ht="18.75">
      <c r="A83" s="464">
        <f>A82*2</f>
        <v>0</v>
      </c>
      <c r="B83" s="319">
        <v>1</v>
      </c>
      <c r="C83" s="320" t="s">
        <v>392</v>
      </c>
      <c r="D83" s="319">
        <v>250</v>
      </c>
      <c r="E83" s="440">
        <f>Table1257[[#This Row],[سعر]]*Table1257[[#This Row],[ميزان]]*Table1257[[#This Row],[عدد]]</f>
        <v>0</v>
      </c>
      <c r="J83" s="219" t="s">
        <v>187</v>
      </c>
      <c r="K83" s="204"/>
      <c r="L83" s="205"/>
      <c r="M83" s="370"/>
      <c r="N83" s="251">
        <f>N82+N81</f>
        <v>78542</v>
      </c>
    </row>
    <row r="84" ht="18.75">
      <c r="A84" s="464">
        <f>A81*1.5</f>
        <v>3</v>
      </c>
      <c r="B84" s="319">
        <v>10</v>
      </c>
      <c r="C84" s="320" t="s">
        <v>394</v>
      </c>
      <c r="D84" s="319">
        <f>Sheet2!B12/1000</f>
        <v>46</v>
      </c>
      <c r="E84" s="440">
        <f>Table1257[[#This Row],[سعر]]*Table1257[[#This Row],[ميزان]]*Table1257[[#This Row],[عدد]]</f>
        <v>1380</v>
      </c>
      <c r="J84" s="219" t="s">
        <v>188</v>
      </c>
      <c r="K84" s="204"/>
      <c r="L84" s="205"/>
      <c r="M84" s="242">
        <f>IF((M73="المقطم"),0.3,IF((M73="التجمع"),0.3,IF((M73="الشيخ زايد"),0.3,IF((M73="الاسكندرية"),0.5,IF((M73="الساحل"),0.5,0.35)))))</f>
        <v>0.3</v>
      </c>
      <c r="N84" s="251">
        <f>N83*(1+Table185665[[#This Row],[Column3]])</f>
        <v>102104.6</v>
      </c>
    </row>
    <row r="85" ht="18.75">
      <c r="A85" s="464">
        <f>ROUND((F62+F63)*0.4/3,0)</f>
        <v>0</v>
      </c>
      <c r="B85" s="319">
        <v>1</v>
      </c>
      <c r="C85" s="320" t="s">
        <v>113</v>
      </c>
      <c r="D85" s="319">
        <v>350</v>
      </c>
      <c r="E85" s="440">
        <f>Table1257[[#This Row],[سعر]]*Table1257[[#This Row],[ميزان]]*Table1257[[#This Row],[عدد]]</f>
        <v>0</v>
      </c>
    </row>
    <row r="86" ht="18.75">
      <c r="A86" s="464">
        <f>A82*4</f>
        <v>0</v>
      </c>
      <c r="B86" s="319">
        <v>1</v>
      </c>
      <c r="C86" s="320" t="s">
        <v>395</v>
      </c>
      <c r="D86" s="319">
        <f>Sheet2!B12/1000</f>
        <v>46</v>
      </c>
      <c r="E86" s="440">
        <f>Table1257[[#This Row],[سعر]]*Table1257[[#This Row],[ميزان]]*Table1257[[#This Row],[عدد]]</f>
        <v>0</v>
      </c>
      <c r="F86" s="275">
        <f>0.15*0.15/2*Table1257[[#This Row],[عدد]]</f>
        <v>0</v>
      </c>
      <c r="G86" s="275">
        <f>Table1257[[#This Row],[ميزان]]*Table1257[[#This Row],[عدد]]</f>
        <v>0</v>
      </c>
    </row>
    <row r="87" ht="18.75">
      <c r="A87" s="464">
        <f>ROUND((F62+F63)*0.4/3,0)</f>
        <v>0</v>
      </c>
      <c r="B87" s="319">
        <v>1</v>
      </c>
      <c r="C87" s="320" t="s">
        <v>396</v>
      </c>
      <c r="D87" s="319">
        <v>200</v>
      </c>
      <c r="E87" s="440">
        <f>Table1257[[#This Row],[سعر]]*Table1257[[#This Row],[ميزان]]*Table1257[[#This Row],[عدد]]</f>
        <v>0</v>
      </c>
    </row>
    <row r="88">
      <c r="A88" s="457" t="s">
        <v>88</v>
      </c>
      <c r="E88" s="440">
        <f>SUBTOTAL(109,Table1257[Column5])</f>
        <v>30799</v>
      </c>
      <c r="F88" s="451" t="e">
        <f>Table1257[[#Totals],[Column5]]/(تسعير!S87*تسعير!S88/10000)</f>
        <v>#DIV/0!</v>
      </c>
      <c r="G88" s="275">
        <f>SUBTOTAL(103,Table1257[Column7])</f>
        <v>8</v>
      </c>
    </row>
    <row r="89">
      <c r="A89" s="458"/>
    </row>
    <row r="90">
      <c r="A90" s="458"/>
    </row>
    <row r="91">
      <c r="A91" s="458"/>
      <c r="H91" s="460"/>
      <c r="I91" s="460"/>
      <c r="J91" s="460"/>
      <c r="K91" s="460"/>
      <c r="L91" s="442"/>
      <c r="M91" s="442"/>
      <c r="N91" s="442"/>
      <c r="O91" s="442"/>
      <c r="P91" s="442"/>
      <c r="Q91" s="442"/>
      <c r="R91" s="442"/>
      <c r="S91" s="442"/>
      <c r="T91" s="442"/>
    </row>
    <row r="92">
      <c r="A92" s="459"/>
      <c r="B92" s="460"/>
      <c r="C92" s="460"/>
      <c r="D92" s="460"/>
      <c r="E92" s="461"/>
      <c r="F92" s="460"/>
      <c r="G92" s="460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CB283291-D0E6-4DC2-AC09-FB01E49319A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G52" zoomScale="70" zoomScaleNormal="70" workbookViewId="0">
      <selection activeCell="Q62" sqref="Q62:Q70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4.28515625" customWidth="1" style="2"/>
    <col min="9" max="9" width="4" customWidth="1" style="2"/>
    <col min="10" max="10" width="9.14062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9.5703125" customWidth="1" style="2"/>
    <col min="39" max="39" width="18.42578125" customWidth="1" style="2"/>
    <col min="40" max="16384" width="9.140625" customWidth="1" style="2"/>
  </cols>
  <sheetData>
    <row r="1" ht="21.75">
      <c r="A1" s="378" t="s">
        <v>278</v>
      </c>
      <c r="B1" s="379">
        <f>(F1*D1)/10000</f>
        <v>15</v>
      </c>
      <c r="C1" s="380" t="s">
        <v>10</v>
      </c>
      <c r="D1" s="381">
        <f>تسعير!BL12</f>
        <v>500</v>
      </c>
      <c r="E1" s="380" t="s">
        <v>9</v>
      </c>
      <c r="F1" s="381">
        <f>تسعير!BG10</f>
        <v>300</v>
      </c>
      <c r="G1" s="79"/>
      <c r="H1" s="79"/>
      <c r="I1" s="79"/>
      <c r="J1" s="79"/>
      <c r="K1" s="79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212" t="s">
        <v>42</v>
      </c>
      <c r="W1" s="193"/>
      <c r="X1" s="190"/>
      <c r="Y1" s="190" t="s">
        <v>43</v>
      </c>
      <c r="Z1" s="190" t="s">
        <v>44</v>
      </c>
      <c r="AA1" s="190" t="s">
        <v>45</v>
      </c>
      <c r="AB1" s="190" t="s">
        <v>46</v>
      </c>
      <c r="AC1" s="190" t="s">
        <v>47</v>
      </c>
      <c r="AD1" s="190" t="s">
        <v>48</v>
      </c>
      <c r="AE1" s="190" t="s">
        <v>49</v>
      </c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</row>
    <row r="2" ht="21.75">
      <c r="A2" s="382" t="s">
        <v>279</v>
      </c>
      <c r="B2" s="383" t="s">
        <v>280</v>
      </c>
      <c r="C2" s="383" t="s">
        <v>281</v>
      </c>
      <c r="D2" s="383" t="s">
        <v>110</v>
      </c>
      <c r="E2" s="383" t="s">
        <v>282</v>
      </c>
      <c r="F2" s="383" t="s">
        <v>187</v>
      </c>
      <c r="G2" s="2" t="s">
        <v>43</v>
      </c>
      <c r="H2" s="2" t="s">
        <v>64</v>
      </c>
      <c r="I2" s="2" t="s">
        <v>133</v>
      </c>
      <c r="J2" s="2" t="s">
        <v>60</v>
      </c>
      <c r="L2" s="624"/>
      <c r="M2" s="625"/>
      <c r="N2" s="626"/>
      <c r="O2" s="209"/>
      <c r="P2" s="210"/>
      <c r="Q2" s="194">
        <f>O2*P2</f>
        <v>0</v>
      </c>
      <c r="R2" s="214" t="e">
        <f>R75/Q2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</row>
    <row r="3" ht="21.75">
      <c r="A3" s="383" t="s">
        <v>283</v>
      </c>
      <c r="B3" s="383">
        <f>MAX(G3:I3)</f>
        <v>5</v>
      </c>
      <c r="C3" s="383">
        <v>2.25</v>
      </c>
      <c r="D3" s="383">
        <f>IF((تسعير!$AT$6="سادة"),((wavy1!$U$2+15000)/1000),IF((تسعير!$AT$6="خشبي"),((wavy1!$U$2+wavy1!$V$2)/1000),0))</f>
        <v>167</v>
      </c>
      <c r="E3" s="383">
        <v>2</v>
      </c>
      <c r="F3" s="384">
        <f>B3*C3*D3*E3</f>
        <v>3757.5</v>
      </c>
      <c r="G3" s="385">
        <f>IF(D1&lt;=350,3.5,0)</f>
        <v>0</v>
      </c>
      <c r="H3" s="385">
        <f>IF(AND((D1&gt;350),(D1&lt;=500)),5,0)</f>
        <v>5</v>
      </c>
      <c r="I3" s="385">
        <f>IF(D1&gt;500,7,0)</f>
        <v>0</v>
      </c>
      <c r="J3" s="385"/>
      <c r="L3" s="627" t="s">
        <v>51</v>
      </c>
      <c r="M3" s="628"/>
      <c r="N3" s="395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c1</v>
      </c>
      <c r="O3" s="190"/>
      <c r="P3" s="190"/>
      <c r="Q3" s="211" t="s">
        <v>52</v>
      </c>
      <c r="R3" s="631">
        <f>NOW()</f>
        <v>45133.622111550925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</row>
    <row r="4" ht="18.75" s="383" customFormat="1">
      <c r="A4" s="383" t="s">
        <v>284</v>
      </c>
      <c r="B4" s="383">
        <f>MAX(G4:J4)</f>
        <v>4</v>
      </c>
      <c r="C4" s="383">
        <v>0.56</v>
      </c>
      <c r="D4" s="383">
        <f>IF((تسعير!$AT$6="سادة"),((wavy1!$U$2+15000)/1000),IF((تسعير!$AT$6="خشبي"),((wavy1!$U$2+wavy1!$V$2)/1000),0))</f>
        <v>167</v>
      </c>
      <c r="E4" s="383">
        <f>CEILING(D1/60,1)+1</f>
        <v>10</v>
      </c>
      <c r="F4" s="384">
        <f>B4*C4*D4*E4</f>
        <v>3740.8</v>
      </c>
      <c r="G4" s="385">
        <f>IF(F1&lt;=200,2,0)</f>
        <v>0</v>
      </c>
      <c r="H4" s="385">
        <f>IF(AND((F1&gt;200),(F1&lt;=250)),2.5,0)</f>
        <v>0</v>
      </c>
      <c r="I4" s="385">
        <f>IF(AND((F1&gt;250),(F1&lt;=400)),4,0)</f>
        <v>4</v>
      </c>
      <c r="J4" s="385">
        <f>IF(F1&gt;400,5,0)</f>
        <v>0</v>
      </c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100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/>
      <c r="AP4" s="190"/>
      <c r="AQ4" s="190"/>
      <c r="AR4" s="190"/>
      <c r="AS4" s="190"/>
    </row>
    <row r="5" ht="18.75" s="383" customFormat="1">
      <c r="A5" s="383" t="s">
        <v>286</v>
      </c>
      <c r="B5" s="383">
        <f>B3*3</f>
        <v>15</v>
      </c>
      <c r="D5" s="383">
        <v>50</v>
      </c>
      <c r="E5" s="383">
        <v>2</v>
      </c>
      <c r="F5" s="384">
        <f>B5*D5*E5</f>
        <v>1500</v>
      </c>
      <c r="G5" s="385"/>
      <c r="H5" s="385"/>
      <c r="I5" s="385"/>
      <c r="J5" s="385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110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200</v>
      </c>
      <c r="AB5" s="203">
        <v>75</v>
      </c>
      <c r="AC5" s="203">
        <v>1100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IF((تسعير!BE5="A"),IF(((Table15855[[#Totals],[المسطح]]+Table166241[[#Totals],[Column12]])&gt;0),(Table15855[[#Totals],[المسطح]]+Table166241[[#Totals],[Column12]]+1)*Table66342[[#This Row],[المعدل]]),0)</f>
        <v>2.9120000000000004</v>
      </c>
      <c r="AN5" s="190"/>
      <c r="AO5" s="190"/>
      <c r="AP5" s="190"/>
      <c r="AQ5" s="190"/>
      <c r="AR5" s="190"/>
      <c r="AS5" s="190"/>
    </row>
    <row r="6" ht="18.75" s="383" customFormat="1">
      <c r="A6" s="383" t="s">
        <v>288</v>
      </c>
      <c r="B6" s="383">
        <f>E4*2</f>
        <v>20</v>
      </c>
      <c r="D6" s="383">
        <v>15</v>
      </c>
      <c r="F6" s="384">
        <f ref="F6:F14" t="shared" si="0">B6*D6</f>
        <v>300</v>
      </c>
      <c r="G6" s="385"/>
      <c r="H6" s="385"/>
      <c r="I6" s="385"/>
      <c r="J6" s="385"/>
      <c r="L6" s="205">
        <v>1</v>
      </c>
      <c r="M6" s="218">
        <f>IF((N3="d1"),6,IF((N3="d2"),6,0))</f>
        <v>0</v>
      </c>
      <c r="N6" s="224" t="s">
        <v>76</v>
      </c>
      <c r="O6" s="204">
        <v>0.03</v>
      </c>
      <c r="P6" s="204">
        <v>0.03</v>
      </c>
      <c r="Q6" s="204">
        <f>(Table15855[[#This Row],[Column1]]+Table15855[[#This Row],[Column2]])*12*Table15855[[#This Row],[عدد]]</f>
        <v>0</v>
      </c>
      <c r="R6" s="226" t="s">
        <v>77</v>
      </c>
      <c r="S6" s="205">
        <v>8.5</v>
      </c>
      <c r="T6" s="205"/>
      <c r="U6" s="220">
        <f>S6*$S$2/1000</f>
        <v>391</v>
      </c>
      <c r="V6" s="221">
        <f>M6*U6</f>
        <v>0</v>
      </c>
      <c r="W6" s="222">
        <f ref="W6:W7" t="shared" si="1">(V6)/$R$74</f>
        <v>0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1100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AM5*Table66342[[#This Row],[المعدل]]+4</f>
        <v>4.728</v>
      </c>
      <c r="AN6" s="203"/>
      <c r="AO6" s="203"/>
      <c r="AP6" s="203"/>
      <c r="AQ6" s="203"/>
      <c r="AR6" s="203"/>
      <c r="AS6" s="203"/>
    </row>
    <row r="7" ht="18.75" s="383" customFormat="1">
      <c r="A7" s="383" t="s">
        <v>290</v>
      </c>
      <c r="B7" s="383">
        <f>(((D1/(E4-1)+10)*(E4-1))*F1)/10000</f>
        <v>17.7</v>
      </c>
      <c r="D7" s="383">
        <v>225</v>
      </c>
      <c r="F7" s="384">
        <f t="shared" si="0"/>
        <v>3982.5</v>
      </c>
      <c r="G7" s="385"/>
      <c r="H7" s="385"/>
      <c r="I7" s="385"/>
      <c r="J7" s="385"/>
      <c r="L7" s="205">
        <v>2</v>
      </c>
      <c r="M7" s="218">
        <f>IF((N3="c1"),3,IF((N3="c2"),4,IF((N3="d1"),4,IF((N3="d2"),5,0))))</f>
        <v>3</v>
      </c>
      <c r="N7" s="224" t="s">
        <v>291</v>
      </c>
      <c r="O7" s="225">
        <v>0.1</v>
      </c>
      <c r="P7" s="225">
        <v>0.05</v>
      </c>
      <c r="Q7" s="248">
        <f>(Table15855[[#This Row],[Column1]]+Table15855[[#This Row],[Column2]])*12*Table15855[[#This Row],[عدد]]</f>
        <v>5.4</v>
      </c>
      <c r="R7" s="205" t="s">
        <v>77</v>
      </c>
      <c r="S7" s="244">
        <v>28.5</v>
      </c>
      <c r="T7" s="244"/>
      <c r="U7" s="220">
        <f>S7*$S$2/1000</f>
        <v>1311</v>
      </c>
      <c r="V7" s="247">
        <f>M7*U7</f>
        <v>3933</v>
      </c>
      <c r="W7" s="222">
        <f t="shared" si="1"/>
        <v>0.11898478292363998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IF((تسعير!BE5="A"),IF(((Table15855[[#Totals],[المسطح]]+Table166241[[#Totals],[Column12]])&gt;0),(Table15855[[#Totals],[المسطح]]+Table166241[[#Totals],[Column12]]+1)*Table66342[[#This Row],[المعدل]]),0)</f>
        <v>1.82</v>
      </c>
      <c r="AN7" s="203"/>
      <c r="AO7" s="203"/>
      <c r="AP7" s="203"/>
      <c r="AQ7" s="203"/>
      <c r="AR7" s="203"/>
      <c r="AS7" s="203"/>
    </row>
    <row r="8" ht="18.75" s="383" customFormat="1">
      <c r="A8" s="383" t="s">
        <v>293</v>
      </c>
      <c r="B8" s="383">
        <f>MAX(G8:H8)</f>
        <v>3</v>
      </c>
      <c r="D8" s="383">
        <v>320</v>
      </c>
      <c r="F8" s="384">
        <f t="shared" si="0"/>
        <v>960</v>
      </c>
      <c r="G8" s="385">
        <f>IF(F1&lt;=300,3,0)</f>
        <v>3</v>
      </c>
      <c r="H8" s="385">
        <f>IF(F1&gt;300,6,0)</f>
        <v>0</v>
      </c>
      <c r="I8" s="385"/>
      <c r="J8" s="385"/>
      <c r="L8" s="205"/>
      <c r="M8" s="218"/>
      <c r="N8" s="219" t="s">
        <v>88</v>
      </c>
      <c r="O8" s="204"/>
      <c r="P8" s="204"/>
      <c r="Q8" s="203">
        <f>SUBTOTAL(109,Table15855[المسطح])</f>
        <v>5.4</v>
      </c>
      <c r="R8" s="205"/>
      <c r="S8" s="205">
        <f>(S7*M7)</f>
        <v>85.5</v>
      </c>
      <c r="T8" s="205"/>
      <c r="U8" s="226"/>
      <c r="V8" s="221">
        <f>SUBTOTAL(109,Table15855[اجمالي])</f>
        <v>3933</v>
      </c>
      <c r="W8" s="243">
        <f>Table15855[[#Totals],[اجمالي]]/$R$74</f>
        <v>0.11898478292363998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IF((تسعير!BE5="A"),IF(((Table15855[[#Totals],[المسطح]]+Table166241[[#Totals],[Column12]])&gt;0),(Table15855[[#Totals],[المسطح]]+Table166241[[#Totals],[Column12]]+1)*Table66342[[#This Row],[المعدل]]),0)</f>
        <v>2.9120000000000004</v>
      </c>
      <c r="AN8" s="203"/>
      <c r="AO8" s="203"/>
      <c r="AP8" s="203"/>
      <c r="AQ8" s="203"/>
      <c r="AR8" s="203"/>
      <c r="AS8" s="203"/>
    </row>
    <row r="9" ht="18.75" s="383" customFormat="1">
      <c r="A9" s="383" t="s">
        <v>295</v>
      </c>
      <c r="B9" s="383">
        <v>2</v>
      </c>
      <c r="D9" s="383">
        <v>100</v>
      </c>
      <c r="F9" s="384">
        <f t="shared" si="0"/>
        <v>200</v>
      </c>
      <c r="G9" s="385"/>
      <c r="H9" s="385"/>
      <c r="I9" s="385"/>
      <c r="J9" s="385"/>
      <c r="L9" s="203"/>
      <c r="M9" s="203"/>
      <c r="N9" s="231"/>
      <c r="O9" s="629" t="s">
        <v>107</v>
      </c>
      <c r="P9" s="629"/>
      <c r="Q9" s="629"/>
      <c r="R9" s="629"/>
      <c r="S9" s="629"/>
      <c r="T9" s="629"/>
      <c r="U9" s="203"/>
      <c r="V9" s="203"/>
      <c r="W9" s="203"/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/>
      <c r="AP9" s="203"/>
      <c r="AQ9" s="203"/>
      <c r="AR9" s="203"/>
      <c r="AS9" s="203"/>
    </row>
    <row r="10" ht="18.75" s="383" customFormat="1">
      <c r="A10" s="383" t="s">
        <v>297</v>
      </c>
      <c r="B10" s="383">
        <v>8</v>
      </c>
      <c r="D10" s="383">
        <v>35</v>
      </c>
      <c r="F10" s="384">
        <f t="shared" si="0"/>
        <v>280</v>
      </c>
      <c r="G10" s="385"/>
      <c r="H10" s="385"/>
      <c r="I10" s="385"/>
      <c r="J10" s="385"/>
      <c r="L10" s="205" t="s">
        <v>61</v>
      </c>
      <c r="M10" s="205" t="s">
        <v>62</v>
      </c>
      <c r="N10" s="233" t="s">
        <v>63</v>
      </c>
      <c r="O10" s="205" t="s">
        <v>64</v>
      </c>
      <c r="P10" s="205" t="s">
        <v>43</v>
      </c>
      <c r="Q10" s="205" t="s">
        <v>95</v>
      </c>
      <c r="R10" s="205" t="s">
        <v>66</v>
      </c>
      <c r="S10" s="205" t="s">
        <v>67</v>
      </c>
      <c r="T10" s="205" t="s">
        <v>110</v>
      </c>
      <c r="U10" s="205" t="s">
        <v>69</v>
      </c>
      <c r="V10" s="234" t="s">
        <v>70</v>
      </c>
      <c r="W10" s="205" t="s">
        <v>71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03"/>
      <c r="AO10" s="203"/>
      <c r="AP10" s="203"/>
      <c r="AQ10" s="203"/>
      <c r="AR10" s="203"/>
      <c r="AS10" s="203"/>
    </row>
    <row r="11" ht="18.75" s="383" customFormat="1">
      <c r="A11" s="383" t="s">
        <v>299</v>
      </c>
      <c r="B11" s="383">
        <v>2</v>
      </c>
      <c r="D11" s="383">
        <v>100</v>
      </c>
      <c r="F11" s="384">
        <f t="shared" si="0"/>
        <v>200</v>
      </c>
      <c r="G11" s="385"/>
      <c r="H11" s="385"/>
      <c r="I11" s="385"/>
      <c r="J11" s="385"/>
      <c r="L11" s="205">
        <v>1</v>
      </c>
      <c r="M11" s="218">
        <v>1</v>
      </c>
      <c r="N11" s="219" t="s">
        <v>113</v>
      </c>
      <c r="O11" s="204"/>
      <c r="P11" s="204"/>
      <c r="Q11" s="204"/>
      <c r="R11" s="205" t="s">
        <v>114</v>
      </c>
      <c r="S11" s="205"/>
      <c r="T11" s="226"/>
      <c r="U11" s="408">
        <f>Sheet2!B28</f>
        <v>300</v>
      </c>
      <c r="V11" s="221">
        <f ref="V11:V17" t="shared" si="2">M11*U11</f>
        <v>300</v>
      </c>
      <c r="W11" s="222">
        <f ref="W11:W17" t="shared" si="3">(V11)/$R$74</f>
        <v>0.0090758797043203644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03"/>
      <c r="AO11" s="203"/>
      <c r="AP11" s="203"/>
      <c r="AQ11" s="203"/>
      <c r="AR11" s="203"/>
      <c r="AS11" s="203"/>
    </row>
    <row r="12" ht="18.75" s="383" customFormat="1">
      <c r="A12" s="383" t="s">
        <v>301</v>
      </c>
      <c r="B12" s="383">
        <f>IF((تسعير!BE9=A20),0,1)</f>
        <v>1</v>
      </c>
      <c r="D12" s="383">
        <v>500</v>
      </c>
      <c r="F12" s="384">
        <f t="shared" si="0"/>
        <v>500</v>
      </c>
      <c r="G12" s="385"/>
      <c r="H12" s="385"/>
      <c r="I12" s="385"/>
      <c r="J12" s="385"/>
      <c r="L12" s="205">
        <v>2</v>
      </c>
      <c r="M12" s="218">
        <v>2</v>
      </c>
      <c r="N12" s="219" t="s">
        <v>119</v>
      </c>
      <c r="O12" s="204"/>
      <c r="P12" s="204"/>
      <c r="Q12" s="204"/>
      <c r="R12" s="205" t="s">
        <v>62</v>
      </c>
      <c r="S12" s="205"/>
      <c r="T12" s="226"/>
      <c r="U12" s="408">
        <v>85</v>
      </c>
      <c r="V12" s="221">
        <f t="shared" si="2"/>
        <v>170</v>
      </c>
      <c r="W12" s="222">
        <f t="shared" si="3"/>
        <v>0.0051429984991148738</v>
      </c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03"/>
      <c r="AO12" s="203"/>
      <c r="AP12" s="203"/>
      <c r="AQ12" s="203"/>
      <c r="AR12" s="203"/>
      <c r="AS12" s="203"/>
    </row>
    <row r="13" ht="18.75" s="383" customFormat="1">
      <c r="A13" s="383" t="s">
        <v>303</v>
      </c>
      <c r="B13" s="383">
        <f>E4*2</f>
        <v>20</v>
      </c>
      <c r="D13" s="383">
        <v>10</v>
      </c>
      <c r="F13" s="384">
        <f t="shared" si="0"/>
        <v>200</v>
      </c>
      <c r="G13" s="385"/>
      <c r="H13" s="385"/>
      <c r="I13" s="385"/>
      <c r="J13" s="385"/>
      <c r="L13" s="205">
        <v>3</v>
      </c>
      <c r="M13" s="201">
        <v>1</v>
      </c>
      <c r="N13" s="219" t="s">
        <v>121</v>
      </c>
      <c r="O13" s="204"/>
      <c r="P13" s="204"/>
      <c r="Q13" s="204"/>
      <c r="R13" s="205" t="s">
        <v>62</v>
      </c>
      <c r="S13" s="205"/>
      <c r="T13" s="226"/>
      <c r="U13" s="408">
        <v>75</v>
      </c>
      <c r="V13" s="221">
        <f t="shared" si="2"/>
        <v>75</v>
      </c>
      <c r="W13" s="222">
        <f t="shared" si="3"/>
        <v>0.0022689699260800911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03"/>
      <c r="AO13" s="203"/>
      <c r="AP13" s="203"/>
      <c r="AQ13" s="203"/>
      <c r="AR13" s="203"/>
      <c r="AS13" s="203"/>
    </row>
    <row r="14" ht="18.75" s="383" customFormat="1">
      <c r="A14" s="385" t="s">
        <v>240</v>
      </c>
      <c r="B14" s="385">
        <f>IF((تسعير!BE9=A20),1,0)</f>
        <v>0</v>
      </c>
      <c r="C14" s="385"/>
      <c r="D14" s="385">
        <v>7500</v>
      </c>
      <c r="E14" s="385"/>
      <c r="F14" s="384">
        <f t="shared" si="0"/>
        <v>0</v>
      </c>
      <c r="G14" s="385"/>
      <c r="H14" s="385"/>
      <c r="I14" s="385"/>
      <c r="J14" s="385"/>
      <c r="L14" s="205">
        <v>4</v>
      </c>
      <c r="M14" s="218">
        <f>IF((N3="c1"),16,IF((N3="c2"),16,0))</f>
        <v>16</v>
      </c>
      <c r="N14" s="219" t="s">
        <v>123</v>
      </c>
      <c r="O14" s="204"/>
      <c r="P14" s="204"/>
      <c r="Q14" s="204"/>
      <c r="R14" s="230" t="s">
        <v>124</v>
      </c>
      <c r="S14" s="230"/>
      <c r="T14" s="226"/>
      <c r="U14" s="408">
        <v>30</v>
      </c>
      <c r="V14" s="221">
        <f t="shared" si="2"/>
        <v>480</v>
      </c>
      <c r="W14" s="222">
        <f t="shared" si="3"/>
        <v>0.014521407526912585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03"/>
      <c r="AO14" s="203"/>
      <c r="AP14" s="203"/>
      <c r="AQ14" s="203"/>
      <c r="AR14" s="203"/>
      <c r="AS14" s="203"/>
    </row>
    <row r="15" ht="18.75" s="383" customFormat="1">
      <c r="A15" s="405"/>
      <c r="B15" s="405"/>
      <c r="C15" s="405"/>
      <c r="D15" s="405"/>
      <c r="E15" s="405"/>
      <c r="F15" s="406"/>
      <c r="G15" s="405"/>
      <c r="H15" s="405"/>
      <c r="I15" s="405"/>
      <c r="J15" s="405"/>
      <c r="L15" s="205">
        <v>5</v>
      </c>
      <c r="M15" s="218"/>
      <c r="N15" s="219" t="s">
        <v>304</v>
      </c>
      <c r="O15" s="204"/>
      <c r="P15" s="204"/>
      <c r="Q15" s="204"/>
      <c r="R15" s="229" t="s">
        <v>305</v>
      </c>
      <c r="S15" s="228"/>
      <c r="T15" s="229"/>
      <c r="U15" s="235">
        <v>450</v>
      </c>
      <c r="V15" s="221">
        <f t="shared" si="2"/>
        <v>0</v>
      </c>
      <c r="W15" s="222">
        <f t="shared" si="3"/>
        <v>0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IF(AND((تسعير!$AT$5="b"),(Table15855[[#Totals],[المسطح]]+Table166241[[#Totals],[Column12]])&gt;0),(((Table15855[[#Totals],[المسطح]]+Table166241[[#Totals],[Column12]])+1)*Table66342[[#This Row],[المعدل]]),0)</f>
        <v>0</v>
      </c>
      <c r="AN15" s="203"/>
      <c r="AO15" s="203"/>
      <c r="AP15" s="203"/>
      <c r="AQ15" s="203"/>
      <c r="AR15" s="203"/>
      <c r="AS15" s="203"/>
    </row>
    <row r="16" ht="18.75" s="383" customFormat="1">
      <c r="A16" s="405"/>
      <c r="B16" s="405"/>
      <c r="C16" s="405"/>
      <c r="D16" s="405"/>
      <c r="E16" s="405"/>
      <c r="F16" s="406"/>
      <c r="G16" s="405"/>
      <c r="H16" s="405"/>
      <c r="I16" s="405"/>
      <c r="J16" s="405"/>
      <c r="L16" s="205">
        <v>6</v>
      </c>
      <c r="M16" s="218"/>
      <c r="N16" s="219" t="s">
        <v>306</v>
      </c>
      <c r="O16" s="204"/>
      <c r="P16" s="204"/>
      <c r="Q16" s="204"/>
      <c r="R16" s="205" t="s">
        <v>307</v>
      </c>
      <c r="S16" s="205"/>
      <c r="T16" s="226"/>
      <c r="U16" s="220">
        <v>400</v>
      </c>
      <c r="V16" s="221">
        <f t="shared" si="2"/>
        <v>0</v>
      </c>
      <c r="W16" s="222">
        <f t="shared" si="3"/>
        <v>0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IF(AND((تسعير!$AT$5="b"),(Table15855[[#Totals],[المسطح]]+Table166241[[#Totals],[Column12]])&gt;0),(((Table15855[[#Totals],[المسطح]]+Table166241[[#Totals],[Column12]])+1)*Table66342[[#This Row],[المعدل]]),0)</f>
        <v>0</v>
      </c>
      <c r="AN16" s="203"/>
      <c r="AO16" s="203"/>
      <c r="AP16" s="203"/>
      <c r="AQ16" s="203"/>
      <c r="AR16" s="203"/>
      <c r="AS16" s="203"/>
    </row>
    <row r="17" ht="18.75" s="383" customFormat="1">
      <c r="A17" s="403" t="s">
        <v>88</v>
      </c>
      <c r="B17" s="403"/>
      <c r="C17" s="403"/>
      <c r="D17" s="403"/>
      <c r="E17" s="403">
        <f>Table823[[#Totals],[اجمالي التكلفة]]/B1</f>
        <v>1041.3866666666665</v>
      </c>
      <c r="F17" s="404">
        <f>SUBTOTAL(109,Table823[اجمالي التكلفة])</f>
        <v>15620.8</v>
      </c>
      <c r="G17" s="403"/>
      <c r="H17" s="403"/>
      <c r="I17" s="403"/>
      <c r="J17" s="403"/>
      <c r="L17" s="205">
        <v>7</v>
      </c>
      <c r="M17" s="218">
        <f>IF((N3="d1"),4,IF((N3="d2"),4,0))</f>
        <v>0</v>
      </c>
      <c r="N17" s="219" t="s">
        <v>130</v>
      </c>
      <c r="O17" s="204"/>
      <c r="P17" s="204"/>
      <c r="Q17" s="204"/>
      <c r="R17" s="205" t="s">
        <v>124</v>
      </c>
      <c r="S17" s="205"/>
      <c r="T17" s="226"/>
      <c r="U17" s="220">
        <f>Sheet2!B30</f>
        <v>400</v>
      </c>
      <c r="V17" s="221">
        <f t="shared" si="2"/>
        <v>0</v>
      </c>
      <c r="W17" s="222">
        <f t="shared" si="3"/>
        <v>0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</row>
    <row r="18" ht="18.75" s="383" customFormat="1">
      <c r="F18" s="384"/>
      <c r="G18" s="385"/>
      <c r="H18" s="385"/>
      <c r="I18" s="385"/>
      <c r="J18" s="385"/>
      <c r="L18" s="427" t="s">
        <v>88</v>
      </c>
      <c r="M18" s="428"/>
      <c r="N18" s="429" t="s">
        <v>88</v>
      </c>
      <c r="O18" s="430"/>
      <c r="P18" s="430"/>
      <c r="Q18" s="435"/>
      <c r="R18" s="427"/>
      <c r="S18" s="427"/>
      <c r="T18" s="427"/>
      <c r="U18" s="431"/>
      <c r="V18" s="432">
        <f>SUBTOTAL(109,Table156140[اجمالي])</f>
        <v>1025</v>
      </c>
      <c r="W18" s="433">
        <f>Table156140[[#Totals],[اجمالي]]/$R$74</f>
        <v>0.031009255656427915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</row>
    <row r="19" ht="18.75">
      <c r="A19" s="387" t="s">
        <v>212</v>
      </c>
      <c r="B19" s="394"/>
      <c r="C19" s="394"/>
      <c r="D19" s="394"/>
      <c r="E19" s="394"/>
      <c r="F19" s="394"/>
      <c r="G19" s="383"/>
      <c r="H19" s="383"/>
      <c r="I19" s="383"/>
      <c r="J19" s="383"/>
      <c r="L19" s="203"/>
      <c r="M19" s="203"/>
      <c r="N19" s="231"/>
      <c r="O19" s="629" t="s">
        <v>132</v>
      </c>
      <c r="P19" s="629"/>
      <c r="Q19" s="629"/>
      <c r="R19" s="629"/>
      <c r="S19" s="629"/>
      <c r="T19" s="629"/>
      <c r="U19" s="203"/>
      <c r="V19" s="203"/>
      <c r="W19" s="203"/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</row>
    <row r="20" ht="18.75">
      <c r="A20" s="384" t="s">
        <v>240</v>
      </c>
      <c r="B20" s="394"/>
      <c r="C20" s="394"/>
      <c r="D20" s="394"/>
      <c r="E20" s="394"/>
      <c r="F20" s="394"/>
      <c r="L20" s="205" t="s">
        <v>61</v>
      </c>
      <c r="M20" s="205" t="s">
        <v>62</v>
      </c>
      <c r="N20" s="233" t="s">
        <v>63</v>
      </c>
      <c r="O20" s="205" t="s">
        <v>64</v>
      </c>
      <c r="P20" s="205" t="s">
        <v>43</v>
      </c>
      <c r="Q20" s="205" t="s">
        <v>95</v>
      </c>
      <c r="R20" s="205" t="s">
        <v>66</v>
      </c>
      <c r="S20" s="205" t="s">
        <v>67</v>
      </c>
      <c r="T20" s="205" t="s">
        <v>110</v>
      </c>
      <c r="U20" s="205" t="s">
        <v>69</v>
      </c>
      <c r="V20" s="234" t="s">
        <v>70</v>
      </c>
      <c r="W20" s="205" t="s">
        <v>71</v>
      </c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</row>
    <row r="21" ht="18.75">
      <c r="A21" s="388"/>
      <c r="L21" s="205">
        <v>3</v>
      </c>
      <c r="M21" s="201">
        <f>IF((N3="c1"),4,IF((N3="c2"),4,0))</f>
        <v>4</v>
      </c>
      <c r="N21" s="206" t="s">
        <v>308</v>
      </c>
      <c r="O21" s="227">
        <v>0.3</v>
      </c>
      <c r="P21" s="227">
        <v>0.3</v>
      </c>
      <c r="Q21" s="227">
        <f>(Table166241[[#This Row],[Column1]]*Table166241[[#This Row],[Column2]])*2*Table166241[[#This Row],[عدد]]</f>
        <v>0.72</v>
      </c>
      <c r="R21" s="228" t="s">
        <v>117</v>
      </c>
      <c r="S21" s="228">
        <v>7</v>
      </c>
      <c r="T21" s="205"/>
      <c r="U21" s="220">
        <f>S21*$S$2/1000</f>
        <v>322</v>
      </c>
      <c r="V21" s="221">
        <f>M21*U21</f>
        <v>1288</v>
      </c>
      <c r="W21" s="222">
        <f ref="W21:W22" t="shared" si="4">(V21)/$R$74</f>
        <v>0.0389657768638821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</row>
    <row r="22" ht="18.75">
      <c r="L22" s="205">
        <v>8</v>
      </c>
      <c r="M22" s="218">
        <f>M21*4</f>
        <v>16</v>
      </c>
      <c r="N22" s="219" t="s">
        <v>135</v>
      </c>
      <c r="O22" s="204">
        <v>0.1</v>
      </c>
      <c r="P22" s="204">
        <v>0.1</v>
      </c>
      <c r="Q22" s="227">
        <f>(Table166241[[#This Row],[Column1]]*Table166241[[#This Row],[Column2]])*Table166241[[#This Row],[عدد]]</f>
        <v>0.16000000000000003</v>
      </c>
      <c r="R22" s="205" t="s">
        <v>117</v>
      </c>
      <c r="S22" s="205">
        <v>0.75</v>
      </c>
      <c r="T22" s="205"/>
      <c r="U22" s="220">
        <f>S22*$S$2/1000</f>
        <v>34.5</v>
      </c>
      <c r="V22" s="221">
        <f>M22*U22</f>
        <v>552</v>
      </c>
      <c r="W22" s="253">
        <f t="shared" si="4"/>
        <v>0.016699618655949471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</row>
    <row r="23" ht="18.75">
      <c r="L23" s="205" t="s">
        <v>88</v>
      </c>
      <c r="M23" s="218">
        <f>SUBTOTAL(103,Table166241[عدد])</f>
        <v>2</v>
      </c>
      <c r="N23" s="219" t="s">
        <v>88</v>
      </c>
      <c r="O23" s="204"/>
      <c r="P23" s="204"/>
      <c r="Q23" s="203">
        <f>SUBTOTAL(109,Table166241[Column12])</f>
        <v>0.88</v>
      </c>
      <c r="R23" s="205"/>
      <c r="S23" s="205">
        <f>(S21*M21)+(M22*S22)</f>
        <v>40</v>
      </c>
      <c r="T23" s="205"/>
      <c r="U23" s="226"/>
      <c r="V23" s="221">
        <f>SUBTOTAL(109,Table166241[اجمالي])</f>
        <v>1840</v>
      </c>
      <c r="W23" s="243">
        <f>Table166241[[#Totals],[اجمالي]]/$R$74</f>
        <v>0.055665395519831573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</row>
    <row r="24" ht="18.75">
      <c r="L24" s="203"/>
      <c r="M24" s="203"/>
      <c r="N24" s="231"/>
      <c r="O24" s="629" t="s">
        <v>136</v>
      </c>
      <c r="P24" s="629"/>
      <c r="Q24" s="629"/>
      <c r="R24" s="629"/>
      <c r="S24" s="629"/>
      <c r="T24" s="629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</row>
    <row r="25" ht="18.75">
      <c r="L25" s="205" t="s">
        <v>61</v>
      </c>
      <c r="M25" s="205" t="s">
        <v>62</v>
      </c>
      <c r="N25" s="233" t="s">
        <v>63</v>
      </c>
      <c r="O25" s="205" t="s">
        <v>64</v>
      </c>
      <c r="P25" s="205" t="s">
        <v>43</v>
      </c>
      <c r="Q25" s="205" t="s">
        <v>95</v>
      </c>
      <c r="R25" s="205" t="s">
        <v>66</v>
      </c>
      <c r="S25" s="205" t="s">
        <v>67</v>
      </c>
      <c r="T25" s="205" t="s">
        <v>110</v>
      </c>
      <c r="U25" s="205" t="s">
        <v>69</v>
      </c>
      <c r="V25" s="234" t="s">
        <v>70</v>
      </c>
      <c r="W25" s="205" t="s">
        <v>71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</row>
    <row r="26" ht="18.75">
      <c r="L26" s="205">
        <v>3</v>
      </c>
      <c r="M26" s="255">
        <f>AM7/3</f>
        <v>0.60666666666666669</v>
      </c>
      <c r="N26" s="219" t="s">
        <v>144</v>
      </c>
      <c r="O26" s="204"/>
      <c r="P26" s="204"/>
      <c r="Q26" s="204"/>
      <c r="R26" s="205" t="s">
        <v>145</v>
      </c>
      <c r="S26" s="205"/>
      <c r="T26" s="205"/>
      <c r="U26" s="235">
        <f>Sheet2!B24</f>
        <v>200</v>
      </c>
      <c r="V26" s="221">
        <f ref="V26:V31" t="shared" si="5">M26*U26</f>
        <v>121.33333333333334</v>
      </c>
      <c r="W26" s="222">
        <f ref="W26:W47" t="shared" si="6">(V26)/$R$74</f>
        <v>0.0036706891248584591</v>
      </c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</row>
    <row r="27" ht="18.75">
      <c r="L27" s="205">
        <v>4</v>
      </c>
      <c r="M27" s="201">
        <v>3</v>
      </c>
      <c r="N27" s="233" t="s">
        <v>137</v>
      </c>
      <c r="O27" s="205"/>
      <c r="P27" s="205"/>
      <c r="Q27" s="205"/>
      <c r="R27" s="205" t="s">
        <v>138</v>
      </c>
      <c r="S27" s="205"/>
      <c r="T27" s="205"/>
      <c r="U27" s="235">
        <v>15</v>
      </c>
      <c r="V27" s="221">
        <f t="shared" si="5"/>
        <v>45</v>
      </c>
      <c r="W27" s="222">
        <f t="shared" si="6"/>
        <v>0.0013613819556480549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</row>
    <row r="28" ht="18.75">
      <c r="L28" s="205">
        <v>5</v>
      </c>
      <c r="M28" s="218">
        <v>3</v>
      </c>
      <c r="N28" s="233" t="s">
        <v>139</v>
      </c>
      <c r="O28" s="205"/>
      <c r="P28" s="205"/>
      <c r="Q28" s="205"/>
      <c r="R28" s="205" t="s">
        <v>138</v>
      </c>
      <c r="S28" s="205"/>
      <c r="T28" s="205"/>
      <c r="U28" s="235">
        <v>15</v>
      </c>
      <c r="V28" s="221">
        <f t="shared" si="5"/>
        <v>45</v>
      </c>
      <c r="W28" s="222">
        <f t="shared" si="6"/>
        <v>0.0013613819556480549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</row>
    <row r="29" ht="18.75">
      <c r="L29" s="205">
        <v>6</v>
      </c>
      <c r="M29" s="201">
        <v>3</v>
      </c>
      <c r="N29" s="219" t="s">
        <v>140</v>
      </c>
      <c r="O29" s="204"/>
      <c r="P29" s="204"/>
      <c r="Q29" s="204"/>
      <c r="R29" s="205" t="s">
        <v>141</v>
      </c>
      <c r="S29" s="205"/>
      <c r="T29" s="205"/>
      <c r="U29" s="235">
        <v>25</v>
      </c>
      <c r="V29" s="221">
        <f t="shared" si="5"/>
        <v>75</v>
      </c>
      <c r="W29" s="222">
        <f t="shared" si="6"/>
        <v>0.0022689699260800911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</row>
    <row r="30" ht="18.75">
      <c r="L30" s="205">
        <v>7</v>
      </c>
      <c r="M30" s="218">
        <v>3</v>
      </c>
      <c r="N30" s="219" t="s">
        <v>142</v>
      </c>
      <c r="O30" s="204"/>
      <c r="P30" s="204"/>
      <c r="Q30" s="204"/>
      <c r="R30" s="205" t="s">
        <v>141</v>
      </c>
      <c r="S30" s="205"/>
      <c r="T30" s="205"/>
      <c r="U30" s="235">
        <v>150</v>
      </c>
      <c r="V30" s="221">
        <f t="shared" si="5"/>
        <v>450</v>
      </c>
      <c r="W30" s="222">
        <f t="shared" si="6"/>
        <v>0.013613819556480548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</row>
    <row r="31" ht="18.75">
      <c r="L31" s="205">
        <v>8</v>
      </c>
      <c r="M31" s="201">
        <v>3</v>
      </c>
      <c r="N31" s="219" t="s">
        <v>143</v>
      </c>
      <c r="O31" s="204"/>
      <c r="P31" s="204"/>
      <c r="Q31" s="204"/>
      <c r="R31" s="205" t="s">
        <v>117</v>
      </c>
      <c r="S31" s="205"/>
      <c r="T31" s="205"/>
      <c r="U31" s="235">
        <v>40</v>
      </c>
      <c r="V31" s="221">
        <f t="shared" si="5"/>
        <v>120</v>
      </c>
      <c r="W31" s="222">
        <f t="shared" si="6"/>
        <v>0.0036303518817281462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</row>
    <row r="32" ht="18.75">
      <c r="L32" s="205">
        <v>2</v>
      </c>
      <c r="M32" s="255">
        <f>AM6/1.9</f>
        <v>2.4884210526315789</v>
      </c>
      <c r="N32" s="219" t="s">
        <v>79</v>
      </c>
      <c r="O32" s="204"/>
      <c r="P32" s="204"/>
      <c r="Q32" s="204"/>
      <c r="R32" s="205" t="s">
        <v>146</v>
      </c>
      <c r="S32" s="205"/>
      <c r="T32" s="205"/>
      <c r="U32" s="235">
        <f>Sheet2!B25</f>
        <v>80</v>
      </c>
      <c r="V32" s="221">
        <f>M32*U32</f>
        <v>199.07368421052632</v>
      </c>
      <c r="W32" s="222">
        <f t="shared" si="6"/>
        <v>0.0060225627006353245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</row>
    <row r="33" ht="18.75">
      <c r="L33" s="205">
        <v>1</v>
      </c>
      <c r="M33" s="255">
        <f>AM5</f>
        <v>2.9120000000000004</v>
      </c>
      <c r="N33" s="219" t="s">
        <v>147</v>
      </c>
      <c r="O33" s="204"/>
      <c r="P33" s="204"/>
      <c r="Q33" s="204"/>
      <c r="R33" s="205" t="s">
        <v>117</v>
      </c>
      <c r="S33" s="205"/>
      <c r="T33" s="205"/>
      <c r="U33" s="235">
        <f>Sheet2!B26</f>
        <v>130</v>
      </c>
      <c r="V33" s="221">
        <f>M33*U33</f>
        <v>378.56000000000006</v>
      </c>
      <c r="W33" s="222">
        <f t="shared" si="6"/>
        <v>0.011452550069558393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</row>
    <row r="34" ht="18.75">
      <c r="L34" s="205">
        <v>9</v>
      </c>
      <c r="M34" s="255">
        <f>AM8</f>
        <v>2.9120000000000004</v>
      </c>
      <c r="N34" s="219" t="s">
        <v>148</v>
      </c>
      <c r="O34" s="204"/>
      <c r="P34" s="204"/>
      <c r="Q34" s="204"/>
      <c r="R34" s="205" t="s">
        <v>117</v>
      </c>
      <c r="S34" s="205"/>
      <c r="T34" s="205"/>
      <c r="U34" s="235">
        <f>Sheet2!B27</f>
        <v>400</v>
      </c>
      <c r="V34" s="221">
        <f>M34*U34</f>
        <v>1164.8000000000002</v>
      </c>
      <c r="W34" s="222">
        <f t="shared" si="6"/>
        <v>0.035238615598641207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</row>
    <row r="35" ht="18.75">
      <c r="L35" s="205"/>
      <c r="M35" s="218"/>
      <c r="N35" s="219"/>
      <c r="O35" s="204"/>
      <c r="P35" s="204"/>
      <c r="Q35" s="204"/>
      <c r="R35" s="205"/>
      <c r="S35" s="205"/>
      <c r="T35" s="205"/>
      <c r="U35" s="235"/>
      <c r="V35" s="221">
        <f ref="V35:V47" t="shared" si="7">M35*U35</f>
        <v>0</v>
      </c>
      <c r="W35" s="253">
        <f t="shared" si="6"/>
        <v>0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</row>
    <row r="36" ht="18.75">
      <c r="L36" s="205"/>
      <c r="M36" s="218"/>
      <c r="N36" s="219"/>
      <c r="O36" s="204"/>
      <c r="P36" s="204"/>
      <c r="Q36" s="204"/>
      <c r="R36" s="205"/>
      <c r="S36" s="205"/>
      <c r="T36" s="205"/>
      <c r="U36" s="235"/>
      <c r="V36" s="221">
        <f t="shared" si="7"/>
        <v>0</v>
      </c>
      <c r="W36" s="253">
        <f t="shared" si="6"/>
        <v>0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</row>
    <row r="37" ht="18.75">
      <c r="L37" s="205"/>
      <c r="M37" s="218"/>
      <c r="N37" s="219"/>
      <c r="O37" s="204"/>
      <c r="P37" s="204"/>
      <c r="Q37" s="204"/>
      <c r="R37" s="205"/>
      <c r="S37" s="205"/>
      <c r="T37" s="205"/>
      <c r="U37" s="235"/>
      <c r="V37" s="221">
        <f t="shared" si="7"/>
        <v>0</v>
      </c>
      <c r="W37" s="253">
        <f t="shared" si="6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</row>
    <row r="38" ht="18.75">
      <c r="L38" s="205"/>
      <c r="M38" s="218"/>
      <c r="N38" s="219"/>
      <c r="O38" s="204"/>
      <c r="P38" s="204"/>
      <c r="Q38" s="204"/>
      <c r="R38" s="205"/>
      <c r="S38" s="205"/>
      <c r="T38" s="205"/>
      <c r="U38" s="235"/>
      <c r="V38" s="221">
        <f t="shared" si="7"/>
        <v>0</v>
      </c>
      <c r="W38" s="253">
        <f t="shared" si="6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</row>
    <row r="39" ht="18.75">
      <c r="L39" s="205"/>
      <c r="M39" s="218"/>
      <c r="N39" s="219"/>
      <c r="O39" s="204"/>
      <c r="P39" s="204"/>
      <c r="Q39" s="204"/>
      <c r="R39" s="205"/>
      <c r="S39" s="205"/>
      <c r="T39" s="205"/>
      <c r="U39" s="235"/>
      <c r="V39" s="221">
        <f t="shared" si="7"/>
        <v>0</v>
      </c>
      <c r="W39" s="253">
        <f t="shared" si="6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</row>
    <row r="40" ht="18.75">
      <c r="L40" s="205"/>
      <c r="M40" s="218">
        <f>IF((تسعير!BE5="B"),(Table15855[[#Totals],[الوزن]]+Table166241[[#Totals],[الوزن]]),0)</f>
        <v>0</v>
      </c>
      <c r="N40" s="219" t="s">
        <v>149</v>
      </c>
      <c r="O40" s="204"/>
      <c r="P40" s="204"/>
      <c r="Q40" s="204"/>
      <c r="R40" s="205"/>
      <c r="S40" s="205"/>
      <c r="T40" s="205"/>
      <c r="U40" s="235">
        <v>20</v>
      </c>
      <c r="V40" s="221">
        <f t="shared" si="7"/>
        <v>0</v>
      </c>
      <c r="W40" s="253">
        <f t="shared" si="6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</row>
    <row r="41" ht="18.75">
      <c r="L41" s="205"/>
      <c r="M41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9" t="s">
        <v>94</v>
      </c>
      <c r="O41" s="204"/>
      <c r="P41" s="204"/>
      <c r="Q41" s="204"/>
      <c r="R41" s="205" t="s">
        <v>150</v>
      </c>
      <c r="S41" s="205"/>
      <c r="T41" s="205"/>
      <c r="U41" s="235">
        <f>Sheet2!B18</f>
        <v>300</v>
      </c>
      <c r="V41" s="221">
        <f t="shared" si="7"/>
        <v>0</v>
      </c>
      <c r="W41" s="253">
        <f t="shared" si="6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</row>
    <row r="42" ht="18.75">
      <c r="L42" s="205"/>
      <c r="M42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33" t="s">
        <v>97</v>
      </c>
      <c r="O42" s="204"/>
      <c r="P42" s="204"/>
      <c r="Q42" s="204"/>
      <c r="R42" s="233" t="s">
        <v>151</v>
      </c>
      <c r="S42" s="205"/>
      <c r="T42" s="205"/>
      <c r="U42" s="235">
        <f>Sheet2!B19</f>
        <v>250</v>
      </c>
      <c r="V42" s="221">
        <f t="shared" si="7"/>
        <v>0</v>
      </c>
      <c r="W42" s="253">
        <f t="shared" si="6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</row>
    <row r="43" ht="18.75">
      <c r="L43" s="205"/>
      <c r="M43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33" t="s">
        <v>101</v>
      </c>
      <c r="O43" s="204"/>
      <c r="P43" s="204"/>
      <c r="Q43" s="204"/>
      <c r="R43" s="233" t="s">
        <v>152</v>
      </c>
      <c r="S43" s="205"/>
      <c r="T43" s="205"/>
      <c r="U43" s="235">
        <f>Sheet2!B20</f>
        <v>375</v>
      </c>
      <c r="V43" s="221">
        <f t="shared" si="7"/>
        <v>0</v>
      </c>
      <c r="W43" s="253">
        <f t="shared" si="6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</row>
    <row r="44" ht="18.75">
      <c r="L44" s="205"/>
      <c r="M44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33" t="s">
        <v>104</v>
      </c>
      <c r="O44" s="204"/>
      <c r="P44" s="204"/>
      <c r="Q44" s="204"/>
      <c r="R44" s="233" t="s">
        <v>152</v>
      </c>
      <c r="S44" s="205"/>
      <c r="T44" s="205"/>
      <c r="U44" s="235">
        <f>Sheet2!B21</f>
        <v>455</v>
      </c>
      <c r="V44" s="221">
        <f t="shared" si="7"/>
        <v>0</v>
      </c>
      <c r="W44" s="253">
        <f t="shared" si="6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</row>
    <row r="45" ht="18.75">
      <c r="L45" s="205"/>
      <c r="M45" s="218"/>
      <c r="N45" s="233" t="s">
        <v>106</v>
      </c>
      <c r="O45" s="204"/>
      <c r="P45" s="204"/>
      <c r="Q45" s="204"/>
      <c r="R45" s="233" t="s">
        <v>309</v>
      </c>
      <c r="S45" s="205"/>
      <c r="T45" s="205"/>
      <c r="U45" s="436"/>
      <c r="V45" s="221">
        <f t="shared" si="7"/>
        <v>0</v>
      </c>
      <c r="W45" s="253">
        <f t="shared" si="6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</row>
    <row r="46" ht="18.75">
      <c r="L46" s="205"/>
      <c r="M46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6" s="233" t="s">
        <v>109</v>
      </c>
      <c r="O46" s="204"/>
      <c r="P46" s="204"/>
      <c r="Q46" s="204"/>
      <c r="R46" s="233" t="s">
        <v>153</v>
      </c>
      <c r="S46" s="205"/>
      <c r="T46" s="205"/>
      <c r="U46" s="437">
        <f>Sheet2!B22</f>
        <v>135</v>
      </c>
      <c r="V46" s="221">
        <f t="shared" si="7"/>
        <v>0</v>
      </c>
      <c r="W46" s="253">
        <f t="shared" si="6"/>
        <v>0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</row>
    <row r="47" ht="18.75">
      <c r="L47" s="205"/>
      <c r="M47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7" s="233" t="s">
        <v>112</v>
      </c>
      <c r="O47" s="204"/>
      <c r="P47" s="204"/>
      <c r="Q47" s="204"/>
      <c r="R47" s="233" t="s">
        <v>153</v>
      </c>
      <c r="S47" s="205"/>
      <c r="T47" s="205"/>
      <c r="U47" s="235">
        <f>Sheet2!B23</f>
        <v>130</v>
      </c>
      <c r="V47" s="221">
        <f t="shared" si="7"/>
        <v>0</v>
      </c>
      <c r="W47" s="253">
        <f t="shared" si="6"/>
        <v>0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</row>
    <row r="48" ht="18.75">
      <c r="L48" s="427" t="s">
        <v>88</v>
      </c>
      <c r="M48" s="428"/>
      <c r="N48" s="429" t="s">
        <v>88</v>
      </c>
      <c r="O48" s="430"/>
      <c r="P48" s="430"/>
      <c r="Q48" s="430"/>
      <c r="R48" s="427" t="s">
        <v>154</v>
      </c>
      <c r="S48" s="427"/>
      <c r="T48" s="427"/>
      <c r="U48" s="431"/>
      <c r="V48" s="432">
        <f>SUBTOTAL(109,Table135926[اجمالي])</f>
        <v>2598.7670175438598</v>
      </c>
      <c r="W48" s="433">
        <f>Table135926[[#Totals],[اجمالي]]/$R$74</f>
        <v>0.078620322769278272</v>
      </c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</row>
    <row r="49" ht="18.75">
      <c r="L49" s="205"/>
      <c r="M49" s="218"/>
      <c r="N49" s="219"/>
      <c r="O49" s="204"/>
      <c r="P49" s="204"/>
      <c r="Q49" s="204"/>
      <c r="R49" s="205"/>
      <c r="S49" s="205"/>
      <c r="T49" s="205"/>
      <c r="U49" s="226"/>
      <c r="V49" s="221"/>
      <c r="W49" s="24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</row>
    <row r="50" ht="18.75">
      <c r="L50" s="203"/>
      <c r="M50" s="203"/>
      <c r="N50" s="231"/>
      <c r="O50" s="629" t="s">
        <v>310</v>
      </c>
      <c r="P50" s="629"/>
      <c r="Q50" s="629"/>
      <c r="R50" s="629"/>
      <c r="S50" s="629"/>
      <c r="T50" s="629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</row>
    <row r="51" ht="18.75">
      <c r="L51" s="205" t="s">
        <v>61</v>
      </c>
      <c r="M51" s="205" t="s">
        <v>62</v>
      </c>
      <c r="N51" s="233" t="s">
        <v>63</v>
      </c>
      <c r="O51" s="205" t="s">
        <v>64</v>
      </c>
      <c r="P51" s="205" t="s">
        <v>43</v>
      </c>
      <c r="Q51" s="205" t="s">
        <v>95</v>
      </c>
      <c r="R51" s="205" t="s">
        <v>66</v>
      </c>
      <c r="S51" s="205" t="s">
        <v>67</v>
      </c>
      <c r="T51" s="205" t="s">
        <v>110</v>
      </c>
      <c r="U51" s="205" t="s">
        <v>69</v>
      </c>
      <c r="V51" s="234" t="s">
        <v>70</v>
      </c>
      <c r="W51" s="205" t="s">
        <v>71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</row>
    <row r="52" ht="18.75">
      <c r="L52" s="205">
        <v>1</v>
      </c>
      <c r="M52" s="201">
        <v>0</v>
      </c>
      <c r="N52" s="204" t="s">
        <v>311</v>
      </c>
      <c r="O52" s="204"/>
      <c r="P52" s="205"/>
      <c r="Q52" s="203"/>
      <c r="R52" s="230" t="s">
        <v>312</v>
      </c>
      <c r="S52" s="205"/>
      <c r="T52" s="230"/>
      <c r="U52" s="230">
        <v>400</v>
      </c>
      <c r="V52" s="221">
        <f>M52*Table16136845[[#This Row],[سعر الشبك ]]</f>
        <v>0</v>
      </c>
      <c r="W52" s="222">
        <f ref="W52:W54" t="shared" si="8">(V52)/$R$74</f>
        <v>0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</row>
    <row r="53" ht="18.75">
      <c r="L53" s="205">
        <v>5</v>
      </c>
      <c r="M53" s="201">
        <v>1</v>
      </c>
      <c r="N53" s="219" t="s">
        <v>313</v>
      </c>
      <c r="O53" s="204"/>
      <c r="P53" s="205"/>
      <c r="Q53" s="203"/>
      <c r="R53" s="204"/>
      <c r="S53" s="205"/>
      <c r="T53" s="230"/>
      <c r="U53" s="235">
        <f>Table823[[#Totals],[اجمالي التكلفة]]</f>
        <v>15620.8</v>
      </c>
      <c r="V53" s="221">
        <f>M53*Table16136845[[#This Row],[سعر الشبك ]]</f>
        <v>15620.8</v>
      </c>
      <c r="W53" s="222">
        <f t="shared" si="8"/>
        <v>0.47257500561749183</v>
      </c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</row>
    <row r="54" ht="18.75">
      <c r="L54" s="205">
        <v>4</v>
      </c>
      <c r="M54" s="218">
        <f>IF((Q70="الاسكندرية"),0.25,0.1)</f>
        <v>0.1</v>
      </c>
      <c r="N54" s="219" t="s">
        <v>165</v>
      </c>
      <c r="O54" s="204"/>
      <c r="P54" s="205"/>
      <c r="Q54" s="203"/>
      <c r="R54" s="204"/>
      <c r="S54" s="205"/>
      <c r="T54" s="230"/>
      <c r="U54" s="235">
        <f>V53</f>
        <v>15620.8</v>
      </c>
      <c r="V54" s="221">
        <f>M54*Table16136845[[#This Row],[سعر الشبك ]]</f>
        <v>1562.08</v>
      </c>
      <c r="W54" s="222">
        <f t="shared" si="8"/>
        <v>0.047257500561749183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</row>
    <row r="55" ht="18.75">
      <c r="L55" s="205" t="s">
        <v>88</v>
      </c>
      <c r="M55" s="218"/>
      <c r="N55" s="219" t="s">
        <v>88</v>
      </c>
      <c r="O55" s="204"/>
      <c r="P55" s="204"/>
      <c r="Q55" s="203">
        <f>SUBTOTAL(109,Table16136845[Column12])</f>
        <v>0</v>
      </c>
      <c r="R55" s="205"/>
      <c r="S55" s="205"/>
      <c r="T55" s="205"/>
      <c r="U55" s="226"/>
      <c r="V55" s="221">
        <f>SUBTOTAL(109,Table16136845[اجمالي])</f>
        <v>17182.879999999997</v>
      </c>
      <c r="W55" s="243">
        <f>Table16136845[[#Totals],[اجمالي]]/$R$74</f>
        <v>0.51983250617924093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</row>
    <row r="56" ht="18.75">
      <c r="L56" s="203"/>
      <c r="M56" s="203"/>
      <c r="N56" s="231"/>
      <c r="O56" s="629" t="s">
        <v>166</v>
      </c>
      <c r="P56" s="629"/>
      <c r="Q56" s="629"/>
      <c r="R56" s="629"/>
      <c r="S56" s="629"/>
      <c r="T56" s="629"/>
      <c r="U56" s="203"/>
      <c r="V56" s="203"/>
      <c r="W56" s="20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</row>
    <row r="57" ht="18.75">
      <c r="L57" s="205" t="s">
        <v>61</v>
      </c>
      <c r="M57" s="205" t="s">
        <v>62</v>
      </c>
      <c r="N57" s="233" t="s">
        <v>63</v>
      </c>
      <c r="O57" s="205" t="s">
        <v>167</v>
      </c>
      <c r="P57" s="205" t="s">
        <v>46</v>
      </c>
      <c r="Q57" s="205" t="s">
        <v>168</v>
      </c>
      <c r="R57" s="205" t="s">
        <v>169</v>
      </c>
      <c r="S57" s="205" t="s">
        <v>95</v>
      </c>
      <c r="T57" s="205" t="s">
        <v>170</v>
      </c>
      <c r="U57" s="205" t="s">
        <v>171</v>
      </c>
      <c r="V57" s="234" t="s">
        <v>70</v>
      </c>
      <c r="W57" s="205" t="s">
        <v>71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</row>
    <row r="58" ht="18.75">
      <c r="L58" s="205">
        <v>1</v>
      </c>
      <c r="M58" s="201">
        <v>2</v>
      </c>
      <c r="N58" s="206" t="s">
        <v>172</v>
      </c>
      <c r="O58" s="205">
        <f>IF((Table16126744[[#This Row],[موقع العمل]]="المصنع"),150,IF((Table16126744[[#This Row],[موقع العمل]]="الاسكندرية"),160,200))</f>
        <v>150</v>
      </c>
      <c r="P58" s="205">
        <f>SUMIF(Table176946[Column1],Table16126744[[#This Row],[موقع العمل]],$AB$2:$AB$20)</f>
        <v>0</v>
      </c>
      <c r="Q58" s="205" t="s">
        <v>173</v>
      </c>
      <c r="R58" s="204" t="s">
        <v>73</v>
      </c>
      <c r="S58" s="203"/>
      <c r="T58" s="220">
        <f>IF((تسعير!$BF$14="بالتات"),2,1)</f>
        <v>2</v>
      </c>
      <c r="U58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300</v>
      </c>
      <c r="V58" s="221">
        <f ref="V58:V70" t="shared" si="9">M58*U58</f>
        <v>600</v>
      </c>
      <c r="W58" s="222">
        <f ref="W58:W70" t="shared" si="10">(V58)/$R$74</f>
        <v>0.018151759408640729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</row>
    <row r="59" ht="18.75">
      <c r="L59" s="205">
        <v>2</v>
      </c>
      <c r="M59" s="201">
        <v>2</v>
      </c>
      <c r="N59" s="206" t="s">
        <v>174</v>
      </c>
      <c r="O59" s="205">
        <f>IF((Table16126744[[#This Row],[موقع العمل]]="المصنع"),150,IF((Table16126744[[#This Row],[موقع العمل]]="الاسكندرية"),160,200))</f>
        <v>150</v>
      </c>
      <c r="P59" s="205">
        <f>SUMIF(Table176946[Column1],Table16126744[[#This Row],[موقع العمل]],$AB$2:$AB$20)</f>
        <v>0</v>
      </c>
      <c r="Q59" s="205" t="s">
        <v>173</v>
      </c>
      <c r="R59" s="204" t="s">
        <v>73</v>
      </c>
      <c r="S59" s="203"/>
      <c r="T59" s="220">
        <f>IF((تسعير!$BF$14="بالتات"),2,1)</f>
        <v>2</v>
      </c>
      <c r="U59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300</v>
      </c>
      <c r="V59" s="221">
        <f t="shared" si="9"/>
        <v>600</v>
      </c>
      <c r="W59" s="222">
        <f t="shared" si="10"/>
        <v>0.018151759408640729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</row>
    <row r="60" ht="18.75">
      <c r="L60" s="205">
        <v>3</v>
      </c>
      <c r="M60" s="201">
        <v>2</v>
      </c>
      <c r="N60" s="206" t="s">
        <v>175</v>
      </c>
      <c r="O60" s="205">
        <f>IF((Table16126744[[#This Row],[موقع العمل]]="المصنع"),150,IF((Table16126744[[#This Row],[موقع العمل]]="الاسكندرية"),160,200))</f>
        <v>150</v>
      </c>
      <c r="P60" s="205">
        <f>SUMIF(Table176946[Column1],Table16126744[[#This Row],[موقع العمل]],$AB$2:$AB$20)</f>
        <v>0</v>
      </c>
      <c r="Q60" s="205" t="s">
        <v>173</v>
      </c>
      <c r="R60" s="204" t="s">
        <v>73</v>
      </c>
      <c r="S60" s="203"/>
      <c r="T60" s="220">
        <v>1</v>
      </c>
      <c r="U60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150</v>
      </c>
      <c r="V60" s="221">
        <f t="shared" si="9"/>
        <v>300</v>
      </c>
      <c r="W60" s="222">
        <f t="shared" si="10"/>
        <v>0.0090758797043203644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</row>
    <row r="61" ht="18.75">
      <c r="L61" s="205">
        <v>4</v>
      </c>
      <c r="M61" s="218">
        <v>3</v>
      </c>
      <c r="N61" s="206" t="s">
        <v>176</v>
      </c>
      <c r="O61" s="205">
        <f>IF((Table16126744[[#This Row],[موقع العمل]]="المصنع"),150,IF((Table16126744[[#This Row],[موقع العمل]]="الاسكندرية"),160,200))</f>
        <v>150</v>
      </c>
      <c r="P61" s="205">
        <f>SUMIF(Table176946[Column1],Table16126744[[#This Row],[موقع العمل]],$AB$2:$AB$20)</f>
        <v>0</v>
      </c>
      <c r="Q61" s="205" t="s">
        <v>173</v>
      </c>
      <c r="R61" s="204" t="s">
        <v>73</v>
      </c>
      <c r="S61" s="203"/>
      <c r="T61" s="220">
        <v>1</v>
      </c>
      <c r="U61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150</v>
      </c>
      <c r="V61" s="221">
        <f t="shared" si="9"/>
        <v>450</v>
      </c>
      <c r="W61" s="222">
        <f t="shared" si="10"/>
        <v>0.013613819556480548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</row>
    <row r="62" ht="18.75">
      <c r="L62" s="205">
        <v>5</v>
      </c>
      <c r="M62" s="218">
        <v>4</v>
      </c>
      <c r="N62" s="206" t="s">
        <v>177</v>
      </c>
      <c r="O62" s="205">
        <f>IF((Table16126744[[#This Row],[موقع العمل]]="المصنع"),150,IF((Table16126744[[#This Row],[موقع العمل]]="الاسكندرية"),160,200))</f>
        <v>200</v>
      </c>
      <c r="P62" s="205">
        <f>SUMIF(Table176946[Column1],Table16126744[[#This Row],[موقع العمل]],$AB$2:$AB$20)</f>
        <v>75</v>
      </c>
      <c r="Q62" s="567" t="str">
        <f>تسعير!$BE$4</f>
        <v>الغربية</v>
      </c>
      <c r="R62" s="204" t="s">
        <v>73</v>
      </c>
      <c r="S62" s="203"/>
      <c r="T62" s="220">
        <f>IF((تسعير!$BF$14="بالتات"),1,2)</f>
        <v>1</v>
      </c>
      <c r="U62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275</v>
      </c>
      <c r="V62" s="221">
        <f t="shared" si="9"/>
        <v>1100</v>
      </c>
      <c r="W62" s="222">
        <f t="shared" si="10"/>
        <v>0.033278225582508009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</row>
    <row r="63" ht="18.75">
      <c r="L63" s="205">
        <v>6</v>
      </c>
      <c r="M63" s="218">
        <v>3</v>
      </c>
      <c r="N63" s="206" t="s">
        <v>178</v>
      </c>
      <c r="O63" s="205">
        <f>IF((Table16126744[[#This Row],[موقع العمل]]="المصنع"),150,IF((Table16126744[[#This Row],[موقع العمل]]="الاسكندرية"),160,200))</f>
        <v>200</v>
      </c>
      <c r="P63" s="205">
        <f>SUMIF(Table176946[Column1],Table16126744[[#This Row],[موقع العمل]],$AB$2:$AB$20)</f>
        <v>75</v>
      </c>
      <c r="Q63" s="567" t="str">
        <f>تسعير!$BE$4</f>
        <v>الغربية</v>
      </c>
      <c r="R63" s="204" t="s">
        <v>73</v>
      </c>
      <c r="S63" s="203"/>
      <c r="T63" s="220">
        <f>IF((تسعير!$BF$14="بالتات"),0,2)</f>
        <v>0</v>
      </c>
      <c r="U63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3" s="221">
        <f t="shared" si="9"/>
        <v>0</v>
      </c>
      <c r="W63" s="222">
        <f t="shared" si="10"/>
        <v>0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</row>
    <row r="64" ht="18.75">
      <c r="L64" s="205">
        <v>7</v>
      </c>
      <c r="M64" s="218">
        <v>0</v>
      </c>
      <c r="N64" s="206" t="s">
        <v>179</v>
      </c>
      <c r="O64" s="205">
        <f>IF((Table16126744[[#This Row],[موقع العمل]]="المصنع"),150,IF((Table16126744[[#This Row],[موقع العمل]]="الاسكندرية"),160,200))</f>
        <v>200</v>
      </c>
      <c r="P64" s="205">
        <f>SUMIF(Table176946[Column1],Table16126744[[#This Row],[موقع العمل]],$AB$2:$AB$20)</f>
        <v>75</v>
      </c>
      <c r="Q64" s="567" t="str">
        <f>تسعير!$BE$4</f>
        <v>الغربية</v>
      </c>
      <c r="R64" s="204" t="s">
        <v>73</v>
      </c>
      <c r="S64" s="203"/>
      <c r="T64" s="220"/>
      <c r="U64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4" s="221">
        <f t="shared" si="9"/>
        <v>0</v>
      </c>
      <c r="W64" s="222">
        <f t="shared" si="10"/>
        <v>0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</row>
    <row r="65" ht="18.75">
      <c r="L65" s="205">
        <v>8</v>
      </c>
      <c r="M65" s="218">
        <v>3</v>
      </c>
      <c r="N65" s="206" t="s">
        <v>180</v>
      </c>
      <c r="O65" s="205">
        <f>IF((Table16126744[[#This Row],[موقع العمل]]="المصنع"),150,IF((Table16126744[[#This Row],[موقع العمل]]="الاسكندرية"),160,200))</f>
        <v>200</v>
      </c>
      <c r="P65" s="205">
        <f>SUMIF(Table176946[Column1],Table16126744[[#This Row],[موقع العمل]],$AB$2:$AB$20)</f>
        <v>75</v>
      </c>
      <c r="Q65" s="567" t="str">
        <f>تسعير!$BE$4</f>
        <v>الغربية</v>
      </c>
      <c r="R65" s="204" t="s">
        <v>73</v>
      </c>
      <c r="S65" s="203"/>
      <c r="T65" s="220">
        <v>1</v>
      </c>
      <c r="U65" s="220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275</v>
      </c>
      <c r="V65" s="221">
        <f t="shared" si="9"/>
        <v>825</v>
      </c>
      <c r="W65" s="222">
        <f t="shared" si="10"/>
        <v>0.024958669186881003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</row>
    <row r="66" ht="18.75">
      <c r="L66" s="205">
        <v>9</v>
      </c>
      <c r="M66" s="218">
        <f>(M62+M63+M64+M65)*2</f>
        <v>20</v>
      </c>
      <c r="N66" s="206" t="s">
        <v>181</v>
      </c>
      <c r="O66" s="205"/>
      <c r="P66" s="205"/>
      <c r="Q66" s="567" t="str">
        <f>تسعير!$BE$4</f>
        <v>الغربية</v>
      </c>
      <c r="R66" s="204"/>
      <c r="S66" s="230">
        <f>SUMIF(Y2:Y20,Table16126744[[#This Row],[موقع العمل]],$Z$2:$Z$20)</f>
        <v>50</v>
      </c>
      <c r="T66" s="230"/>
      <c r="U66" s="220">
        <f>Table16126744[[#This Row],[Column12]]</f>
        <v>50</v>
      </c>
      <c r="V66" s="221">
        <f t="shared" si="9"/>
        <v>1000</v>
      </c>
      <c r="W66" s="222">
        <f t="shared" si="10"/>
        <v>0.030252932347734549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</row>
    <row r="67" ht="18.75">
      <c r="L67" s="205">
        <v>10</v>
      </c>
      <c r="M67" s="218">
        <f>IF((تسعير!$BF$14="بالتات"),0,((T62+T63+T64+T65)*2)-3)</f>
        <v>0</v>
      </c>
      <c r="N67" s="206" t="s">
        <v>182</v>
      </c>
      <c r="O67" s="205"/>
      <c r="P67" s="205"/>
      <c r="Q67" s="567" t="str">
        <f>تسعير!$BE$4</f>
        <v>الغربية</v>
      </c>
      <c r="R67" s="204"/>
      <c r="S67" s="230">
        <f>SUMIF(Y2:Y20,Table16126744[[#This Row],[موقع العمل]],$AA$2:$AA$20)</f>
        <v>50</v>
      </c>
      <c r="T67" s="230"/>
      <c r="U67" s="220">
        <f>Table16126744[[#This Row],[Column12]]</f>
        <v>50</v>
      </c>
      <c r="V67" s="221">
        <f t="shared" si="9"/>
        <v>0</v>
      </c>
      <c r="W67" s="222">
        <f t="shared" si="10"/>
        <v>0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</row>
    <row r="68" ht="18.75">
      <c r="L68" s="205">
        <v>11</v>
      </c>
      <c r="M68" s="218">
        <v>0</v>
      </c>
      <c r="N68" s="206" t="s">
        <v>183</v>
      </c>
      <c r="O68" s="205"/>
      <c r="P68" s="205"/>
      <c r="Q68" s="567" t="str">
        <f>تسعير!$BE$4</f>
        <v>الغربية</v>
      </c>
      <c r="R68" s="204"/>
      <c r="S68" s="230">
        <f>SUMIF(Y2:Y20,Table16126744[[#This Row],[موقع العمل]],$AC$2:$AC$20)</f>
        <v>900</v>
      </c>
      <c r="T68" s="230"/>
      <c r="U68" s="220">
        <f>Table16126744[[#This Row],[Column12]]</f>
        <v>900</v>
      </c>
      <c r="V68" s="221">
        <f t="shared" si="9"/>
        <v>0</v>
      </c>
      <c r="W68" s="222">
        <f t="shared" si="10"/>
        <v>0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</row>
    <row r="69" ht="18.75">
      <c r="L69" s="205">
        <v>12</v>
      </c>
      <c r="M69" s="218">
        <f>IF((تسعير!$BF$14="بالتات"),1,2)</f>
        <v>1</v>
      </c>
      <c r="N69" s="206" t="s">
        <v>184</v>
      </c>
      <c r="O69" s="205"/>
      <c r="P69" s="205"/>
      <c r="Q69" s="567" t="str">
        <f>تسعير!$BE$4</f>
        <v>الغربية</v>
      </c>
      <c r="R69" s="204"/>
      <c r="S69" s="230">
        <f>SUMIF(Y2:Y20,Table16126744[[#This Row],[موقع العمل]],$AD$2:$AD$20)</f>
        <v>1600</v>
      </c>
      <c r="T69" s="230"/>
      <c r="U69" s="220">
        <f>Table16126744[[#This Row],[Column12]]</f>
        <v>1600</v>
      </c>
      <c r="V69" s="221">
        <f t="shared" si="9"/>
        <v>1600</v>
      </c>
      <c r="W69" s="222">
        <f t="shared" si="10"/>
        <v>0.048404691756375282</v>
      </c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</row>
    <row r="70" ht="18.75">
      <c r="L70" s="205">
        <v>13</v>
      </c>
      <c r="M70" s="218">
        <f>IF((تسعير!$BF$14="بالتات"),0,M67-2)</f>
        <v>0</v>
      </c>
      <c r="N70" s="206" t="s">
        <v>49</v>
      </c>
      <c r="O70" s="205"/>
      <c r="P70" s="205"/>
      <c r="Q70" s="567" t="str">
        <f>تسعير!$BE$4</f>
        <v>الغربية</v>
      </c>
      <c r="R70" s="204"/>
      <c r="S70" s="230">
        <f>SUMIF(Y2:Y20,Table16126744[[#This Row],[موقع العمل]],$AE$2:$AE$20)</f>
        <v>150</v>
      </c>
      <c r="T70" s="230"/>
      <c r="U70" s="220">
        <f>Table16126744[[#This Row],[Column12]]</f>
        <v>150</v>
      </c>
      <c r="V70" s="221">
        <f t="shared" si="9"/>
        <v>0</v>
      </c>
      <c r="W70" s="222">
        <f t="shared" si="10"/>
        <v>0</v>
      </c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</row>
    <row r="71" ht="18.75">
      <c r="L71" s="559" t="s">
        <v>88</v>
      </c>
      <c r="M71" s="560"/>
      <c r="N71" s="561" t="s">
        <v>88</v>
      </c>
      <c r="O71" s="559"/>
      <c r="P71" s="559"/>
      <c r="Q71" s="562"/>
      <c r="R71" s="562"/>
      <c r="S71" s="563">
        <f>SUBTOTAL(109,Table16126744[Column12])</f>
        <v>2750</v>
      </c>
      <c r="T71" s="559"/>
      <c r="U71" s="564"/>
      <c r="V71" s="565">
        <f>SUBTOTAL(109,Table16126744[اجمالي])</f>
        <v>6475</v>
      </c>
      <c r="W71" s="566">
        <f>Table16126744[[#Totals],[اجمالي]]/$R$74</f>
        <v>0.19588773695158121</v>
      </c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</row>
    <row r="72" ht="18.75">
      <c r="L72" s="203"/>
      <c r="M72" s="203"/>
      <c r="N72" s="231"/>
      <c r="O72" s="630"/>
      <c r="P72" s="630"/>
      <c r="Q72" s="630"/>
      <c r="R72" s="630"/>
      <c r="S72" s="630"/>
      <c r="T72" s="630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</row>
    <row r="73" ht="19.5">
      <c r="L73" s="205"/>
      <c r="M73" s="205"/>
      <c r="N73" s="233" t="s">
        <v>43</v>
      </c>
      <c r="O73" s="205" t="s">
        <v>185</v>
      </c>
      <c r="P73" s="205" t="s">
        <v>186</v>
      </c>
      <c r="Q73" s="205" t="s">
        <v>133</v>
      </c>
      <c r="R73" s="205" t="s">
        <v>64</v>
      </c>
      <c r="S73" s="205"/>
      <c r="T73" s="205"/>
      <c r="U73" s="205"/>
      <c r="V73" s="234"/>
      <c r="W73" s="205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</row>
    <row r="74" ht="19.5">
      <c r="L74" s="205"/>
      <c r="M74" s="201"/>
      <c r="N74" s="219" t="s">
        <v>187</v>
      </c>
      <c r="O74" s="204"/>
      <c r="P74" s="205"/>
      <c r="Q74" s="370"/>
      <c r="R74" s="251">
        <f>Table16126744[[#Totals],[اجمالي]]+Table16136845[[#Totals],[اجمالي]]+Table135926[[#Totals],[اجمالي]]+Table166241[[#Totals],[اجمالي]]+Table156140[[#Totals],[اجمالي]]+Table15855[[#Totals],[اجمالي]]</f>
        <v>33054.647017543859</v>
      </c>
      <c r="S74" s="205"/>
      <c r="T74" s="205"/>
      <c r="U74" s="220"/>
      <c r="V74" s="240"/>
      <c r="W74" s="407">
        <f>Table16126744[[#Totals],[%]]+Table16136845[[#Totals],[%]]+Table135926[[#Totals],[%]]+Table166241[[#Totals],[%]]+Table156140[[#Totals],[%]]+Table15855[[#Totals],[%]]</f>
        <v>0.99999999999999989</v>
      </c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</row>
    <row r="75" ht="18.75">
      <c r="L75" s="205"/>
      <c r="M75" s="218"/>
      <c r="N75" s="219" t="s">
        <v>188</v>
      </c>
      <c r="O75" s="204"/>
      <c r="P75" s="205"/>
      <c r="Q75" s="242">
        <f>IF((Q70="المقطم"),0.3,IF((Q70="التجمع"),0.3,IF((Q70="الشيخ زايد"),0.3,IF((Q70="الاسكندرية"),0.5,0.35))))</f>
        <v>0.35</v>
      </c>
      <c r="R75" s="251">
        <f>R74*(1+Table187054[[#This Row],[Column3]])</f>
        <v>44623.77347368421</v>
      </c>
      <c r="S75" s="205"/>
      <c r="T75" s="205"/>
      <c r="U75" s="220"/>
      <c r="V75" s="240"/>
      <c r="W75" s="241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</row>
    <row r="76" ht="18.75"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</row>
    <row r="77" ht="18.75"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</row>
    <row r="78" ht="18.75"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</row>
    <row r="79" ht="18.75"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</row>
    <row r="80" ht="18.75"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</row>
    <row r="81" ht="18.75"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</row>
    <row r="82" ht="18.75"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</row>
    <row r="83" ht="18.75"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</row>
    <row r="84" ht="18.75"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</row>
    <row r="85" ht="18.75"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</row>
    <row r="86" ht="18.75"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</row>
    <row r="87" ht="18.75"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</row>
    <row r="88" ht="18.75"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</row>
    <row r="89" ht="18.75"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</row>
    <row r="90" ht="18.75"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</row>
    <row r="91" ht="18.75"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</row>
    <row r="92" ht="18.75"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</row>
    <row r="93" ht="18.75"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</row>
    <row r="94" ht="18.75"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</row>
    <row r="95" ht="18.75"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</row>
    <row r="96" ht="18.75"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</row>
    <row r="97" ht="18.75"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</row>
    <row r="98" ht="18.75"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</row>
    <row r="99" ht="18.75"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</row>
    <row r="100" ht="18.75"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</row>
    <row r="101" ht="18.75"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</row>
    <row r="102" ht="18.75"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</row>
    <row r="103" ht="18.75"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</row>
    <row r="104" ht="18.75"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</row>
    <row r="105" ht="18.75"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</row>
    <row r="106" ht="18.75"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</row>
    <row r="107" ht="18.75"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</row>
    <row r="108" ht="18.75"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</row>
    <row r="109" ht="18.75"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</row>
    <row r="110" ht="18.75"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</row>
    <row r="111" ht="18.75"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</row>
    <row r="112" ht="18.75"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</row>
    <row r="113" ht="18.75"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</row>
    <row r="114" ht="18.75"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</row>
    <row r="115" ht="18.75"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</row>
    <row r="116" ht="18.75"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</row>
    <row r="117" ht="18.75"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</row>
    <row r="118" ht="18.75"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</row>
    <row r="119" ht="18.75"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</row>
    <row r="120" ht="18.75"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</row>
    <row r="121" ht="18.75"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</row>
    <row r="122" ht="18.75"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</row>
    <row r="123" ht="18.75"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</row>
    <row r="124" ht="18.75"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</row>
    <row r="125" ht="18.75"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</row>
    <row r="126" ht="18.75"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</row>
    <row r="127" ht="18.75"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</row>
    <row r="128" ht="18.75"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</row>
    <row r="129" ht="18.75"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</row>
    <row r="130" ht="18.75"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</row>
    <row r="131" ht="18.75"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</row>
    <row r="132" ht="18.75"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</row>
    <row r="133" ht="18.75"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</row>
    <row r="134" ht="18.75"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</row>
    <row r="135" ht="18.75"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</row>
    <row r="136" ht="18.75"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</row>
    <row r="137" ht="18.75"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</row>
    <row r="138" ht="18.75"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</row>
    <row r="139" ht="18.75"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</row>
    <row r="140"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</row>
    <row r="141"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</row>
    <row r="142"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</row>
    <row r="143"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</row>
    <row r="144"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</row>
    <row r="145"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</row>
    <row r="146"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</row>
    <row r="147"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</row>
    <row r="148"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</row>
    <row r="149"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</row>
    <row r="150"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</row>
    <row r="151"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</row>
    <row r="169"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</row>
    <row r="170"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</row>
    <row r="171"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</row>
    <row r="172"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</row>
    <row r="173"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</row>
    <row r="174"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</row>
    <row r="175"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</row>
    <row r="176"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</row>
    <row r="177"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</row>
    <row r="178"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</row>
    <row r="179"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</row>
  </sheetData>
  <sheetProtection selectLockedCells="1" selectUnlockedCells="1"/>
  <mergeCells>
    <mergeCell ref="O24:T24"/>
    <mergeCell ref="O50:T50"/>
    <mergeCell ref="O56:T56"/>
    <mergeCell ref="O72:T72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8:R70" xr:uid="{88D6D44F-C5AE-4AA5-BAAC-0BF175C51A71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55" zoomScaleNormal="55" zoomScaleSheetLayoutView="70" zoomScalePageLayoutView="25" workbookViewId="0">
      <selection sqref="A1:Q7"/>
    </sheetView>
  </sheetViews>
  <sheetFormatPr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254"/>
    <col min="13" max="13" width="5.140625" customWidth="1" style="254"/>
    <col min="14" max="16" width="20.5703125" customWidth="1" style="254"/>
    <col min="17" max="17" width="6.140625" customWidth="1" style="254"/>
    <col min="18" max="18" width="61.5703125" customWidth="1" style="254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61.42578125" customWidth="1" style="441"/>
    <col min="56" max="66" width="24.5703125" customWidth="1"/>
  </cols>
  <sheetData>
    <row r="1" ht="45.75" customHeight="1">
      <c r="A1" s="596"/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371" t="s">
        <v>189</v>
      </c>
      <c r="T1" s="371"/>
      <c r="U1" s="371"/>
      <c r="V1" s="249"/>
      <c r="W1" s="344"/>
      <c r="X1" s="249"/>
      <c r="Y1" s="249"/>
      <c r="Z1" s="249"/>
      <c r="AA1" s="249"/>
      <c r="AB1" s="249"/>
      <c r="AC1" s="249"/>
      <c r="AD1" s="441"/>
      <c r="AE1" s="249"/>
      <c r="AF1" s="249"/>
      <c r="AG1" s="249"/>
      <c r="AH1" s="249"/>
      <c r="AI1" s="249"/>
      <c r="AJ1" s="249"/>
      <c r="AK1" s="249"/>
      <c r="AR1" s="441"/>
      <c r="AS1" s="371" t="s">
        <v>190</v>
      </c>
      <c r="AT1" s="371"/>
      <c r="AU1" s="371"/>
      <c r="AV1" s="249"/>
      <c r="AW1" s="344"/>
      <c r="AX1" s="249"/>
      <c r="AY1" s="249"/>
      <c r="AZ1" s="249"/>
      <c r="BA1" s="249"/>
      <c r="BB1" s="249"/>
      <c r="BD1" s="371" t="s">
        <v>191</v>
      </c>
      <c r="BE1" s="371"/>
      <c r="BF1" s="584"/>
      <c r="BG1" s="584"/>
      <c r="BH1" s="584"/>
      <c r="BI1" s="584"/>
      <c r="BJ1" s="584"/>
      <c r="BK1" s="584"/>
      <c r="BL1" s="584"/>
      <c r="BM1" s="584"/>
      <c r="BN1" s="584"/>
    </row>
    <row r="2" ht="45" customHeight="1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330" t="s">
        <v>192</v>
      </c>
      <c r="T2" s="372">
        <f>IF((Z14="ok"),Royal!G82,"R")</f>
        <v>184714.47779094573</v>
      </c>
      <c r="U2" s="331"/>
      <c r="V2" s="249"/>
      <c r="W2" s="249"/>
      <c r="X2" s="249"/>
      <c r="Y2" s="249"/>
      <c r="Z2" s="249"/>
      <c r="AA2" s="249"/>
      <c r="AB2" s="249"/>
      <c r="AC2" s="249"/>
      <c r="AD2" s="441"/>
      <c r="AE2" s="249"/>
      <c r="AF2" s="592" t="s">
        <v>192</v>
      </c>
      <c r="AG2" s="591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1"/>
      <c r="AI2" s="252"/>
      <c r="AJ2" s="252"/>
      <c r="AK2" s="252"/>
      <c r="AR2" s="441"/>
      <c r="AS2" s="396" t="s">
        <v>192</v>
      </c>
      <c r="AT2" s="397">
        <f>IF((AZ14="OK"),wavy1!R75,"R")</f>
        <v>46974.376271546054</v>
      </c>
      <c r="AU2" s="331"/>
      <c r="AV2" s="249"/>
      <c r="AW2" s="249"/>
      <c r="AX2" s="249"/>
      <c r="AY2" s="249"/>
      <c r="AZ2" s="249"/>
      <c r="BA2" s="249"/>
      <c r="BB2" s="249"/>
      <c r="BD2" s="419" t="s">
        <v>192</v>
      </c>
      <c r="BE2" s="419">
        <f>IF((BK14="OK"),wavy2!R75,"R")</f>
        <v>44623.77347368421</v>
      </c>
      <c r="BF2" s="584"/>
      <c r="BG2" s="584"/>
      <c r="BH2" s="584"/>
      <c r="BI2" s="584"/>
      <c r="BJ2" s="584"/>
      <c r="BK2" s="584"/>
      <c r="BL2" s="584"/>
      <c r="BM2" s="584"/>
      <c r="BN2" s="584"/>
    </row>
    <row r="3" ht="54.75" customHeight="1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345" t="s">
        <v>162</v>
      </c>
      <c r="T3" s="373">
        <f>T2/(AA10*X8)*10000</f>
        <v>5863.9516759030394</v>
      </c>
      <c r="U3" s="331"/>
      <c r="V3" s="252"/>
      <c r="W3" s="249"/>
      <c r="X3" s="249"/>
      <c r="Y3" s="249"/>
      <c r="Z3" s="249"/>
      <c r="AA3" s="249"/>
      <c r="AB3" s="249"/>
      <c r="AC3" s="249"/>
      <c r="AD3" s="441"/>
      <c r="AE3" s="249"/>
      <c r="AF3" s="592"/>
      <c r="AG3" s="591"/>
      <c r="AH3" s="591"/>
      <c r="AI3" s="252"/>
      <c r="AJ3" s="252"/>
      <c r="AK3" s="252"/>
      <c r="AL3" s="249"/>
      <c r="AM3" s="249"/>
      <c r="AN3" s="249"/>
      <c r="AO3" s="249"/>
      <c r="AP3" s="249"/>
      <c r="AQ3" s="249"/>
      <c r="AR3" s="441"/>
      <c r="AS3" s="396" t="s">
        <v>162</v>
      </c>
      <c r="AT3" s="398">
        <f>AT2/(AV10*BA12)*10000</f>
        <v>3587.9597449284634</v>
      </c>
      <c r="AU3" s="331"/>
      <c r="AV3" s="252"/>
      <c r="AW3" s="249"/>
      <c r="AX3" s="249"/>
      <c r="AY3" s="249"/>
      <c r="AZ3" s="249"/>
      <c r="BA3" s="249"/>
      <c r="BB3" s="249"/>
      <c r="BD3" s="420" t="s">
        <v>162</v>
      </c>
      <c r="BE3" s="421">
        <f>BE2/(BG10*BL12)*10000</f>
        <v>2974.9182315789476</v>
      </c>
      <c r="BF3" s="584"/>
      <c r="BG3" s="584"/>
      <c r="BH3" s="584"/>
      <c r="BI3" s="584"/>
      <c r="BJ3" s="584"/>
      <c r="BK3" s="584"/>
      <c r="BL3" s="584"/>
      <c r="BM3" s="584"/>
      <c r="BN3" s="584"/>
    </row>
    <row r="4" ht="55.5" customHeight="1">
      <c r="A4" s="596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341" t="s">
        <v>193</v>
      </c>
      <c r="T4" s="374" t="s">
        <v>122</v>
      </c>
      <c r="U4" s="346"/>
      <c r="V4" s="346"/>
      <c r="W4" s="346"/>
      <c r="X4" s="346"/>
      <c r="Y4" s="346"/>
      <c r="Z4" s="346"/>
      <c r="AA4" s="346"/>
      <c r="AB4" s="249"/>
      <c r="AC4" s="331"/>
      <c r="AD4" s="441"/>
      <c r="AE4" s="249"/>
      <c r="AF4" s="592"/>
      <c r="AG4" s="591"/>
      <c r="AH4" s="591"/>
      <c r="AI4" s="249"/>
      <c r="AJ4" s="249"/>
      <c r="AK4" s="249"/>
      <c r="AL4" s="249"/>
      <c r="AM4" s="249"/>
      <c r="AN4" s="249"/>
      <c r="AO4" s="249"/>
      <c r="AP4" s="249"/>
      <c r="AQ4" s="249"/>
      <c r="AR4" s="441"/>
      <c r="AS4" s="335" t="s">
        <v>193</v>
      </c>
      <c r="AT4" s="374" t="s">
        <v>103</v>
      </c>
      <c r="AU4" s="346"/>
      <c r="AV4" s="346"/>
      <c r="AW4" s="346"/>
      <c r="AX4" s="346"/>
      <c r="AY4" s="346"/>
      <c r="AZ4" s="346"/>
      <c r="BA4" s="346"/>
      <c r="BB4" s="249"/>
      <c r="BD4" s="425" t="s">
        <v>193</v>
      </c>
      <c r="BE4" s="421" t="s">
        <v>89</v>
      </c>
      <c r="BF4" s="585"/>
      <c r="BG4" s="586"/>
      <c r="BH4" s="586"/>
      <c r="BI4" s="586"/>
      <c r="BJ4" s="586"/>
      <c r="BK4" s="586"/>
      <c r="BL4" s="586"/>
      <c r="BM4" s="586"/>
      <c r="BN4" s="583"/>
    </row>
    <row r="5" ht="55.5" customHeight="1">
      <c r="A5" s="596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335" t="s">
        <v>194</v>
      </c>
      <c r="T5" s="375" t="s">
        <v>195</v>
      </c>
      <c r="U5" s="346"/>
      <c r="V5" s="346"/>
      <c r="W5" s="346"/>
      <c r="X5" s="346"/>
      <c r="Y5" s="346"/>
      <c r="Z5" s="346"/>
      <c r="AA5" s="346"/>
      <c r="AB5" s="254"/>
      <c r="AC5" s="249"/>
      <c r="AD5" s="441"/>
      <c r="AE5" s="249"/>
      <c r="AF5" s="249"/>
      <c r="AG5" s="249"/>
      <c r="AH5" s="249"/>
      <c r="AI5" s="249"/>
      <c r="AJ5" s="312"/>
      <c r="AK5" s="312"/>
      <c r="AL5" s="249"/>
      <c r="AM5" s="249"/>
      <c r="AN5" s="249"/>
      <c r="AO5" s="249"/>
      <c r="AP5" s="249"/>
      <c r="AQ5" s="249"/>
      <c r="AR5" s="441"/>
      <c r="AS5" s="335" t="s">
        <v>194</v>
      </c>
      <c r="AT5" s="375" t="s">
        <v>195</v>
      </c>
      <c r="AU5" s="346"/>
      <c r="AV5" s="346"/>
      <c r="AW5" s="346"/>
      <c r="AX5" s="346"/>
      <c r="AY5" s="346"/>
      <c r="AZ5" s="346"/>
      <c r="BA5" s="346"/>
      <c r="BB5" s="254"/>
      <c r="BD5" s="426" t="s">
        <v>194</v>
      </c>
      <c r="BE5" s="421" t="s">
        <v>195</v>
      </c>
      <c r="BF5" s="585"/>
      <c r="BG5" s="586"/>
      <c r="BH5" s="586"/>
      <c r="BI5" s="586"/>
      <c r="BJ5" s="586"/>
      <c r="BK5" s="586"/>
      <c r="BL5" s="586"/>
      <c r="BM5" s="586"/>
      <c r="BN5" s="583"/>
    </row>
    <row r="6" ht="55.5" customHeight="1">
      <c r="A6" s="596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336" t="s">
        <v>196</v>
      </c>
      <c r="T6" s="376" t="s">
        <v>197</v>
      </c>
      <c r="U6" s="346"/>
      <c r="V6" s="346"/>
      <c r="W6" s="346"/>
      <c r="X6" s="346"/>
      <c r="Y6" s="346"/>
      <c r="Z6" s="346"/>
      <c r="AA6" s="346"/>
      <c r="AB6" s="254"/>
      <c r="AC6" s="249"/>
      <c r="AD6" s="441"/>
      <c r="AE6" s="249"/>
      <c r="AF6" s="249"/>
      <c r="AG6" s="249"/>
      <c r="AH6" s="249"/>
      <c r="AI6" s="360" t="s">
        <v>198</v>
      </c>
      <c r="AJ6" s="360" t="s">
        <v>199</v>
      </c>
      <c r="AK6" s="359" t="s">
        <v>200</v>
      </c>
      <c r="AL6" s="360" t="s">
        <v>201</v>
      </c>
      <c r="AM6" s="360" t="s">
        <v>202</v>
      </c>
      <c r="AN6" s="361" t="s">
        <v>203</v>
      </c>
      <c r="AO6" s="589" t="s">
        <v>204</v>
      </c>
      <c r="AP6" s="590"/>
      <c r="AQ6" s="249"/>
      <c r="AR6" s="441"/>
      <c r="AS6" s="336" t="s">
        <v>196</v>
      </c>
      <c r="AT6" s="376" t="s">
        <v>197</v>
      </c>
      <c r="AU6" s="389"/>
      <c r="AV6" s="389"/>
      <c r="AW6" s="389"/>
      <c r="AX6" s="389"/>
      <c r="AY6" s="389"/>
      <c r="AZ6" s="389"/>
      <c r="BA6" s="389"/>
      <c r="BB6" s="389"/>
      <c r="BD6" s="426" t="s">
        <v>196</v>
      </c>
      <c r="BE6" s="421" t="s">
        <v>205</v>
      </c>
      <c r="BF6" s="389"/>
      <c r="BG6" s="389"/>
      <c r="BH6" s="389"/>
      <c r="BI6" s="389"/>
      <c r="BJ6" s="389"/>
      <c r="BK6" s="389"/>
      <c r="BL6" s="389"/>
      <c r="BM6" s="389"/>
      <c r="BN6" s="583"/>
    </row>
    <row r="7" ht="18.75" customHeight="1">
      <c r="A7" s="596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337"/>
      <c r="T7" s="338"/>
      <c r="U7" s="347"/>
      <c r="V7" s="347"/>
      <c r="W7" s="347"/>
      <c r="X7" s="348"/>
      <c r="Y7" s="348"/>
      <c r="Z7" s="346"/>
      <c r="AA7" s="346"/>
      <c r="AB7" s="254"/>
      <c r="AC7" s="249"/>
      <c r="AD7" s="441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441"/>
      <c r="AS7" s="337"/>
      <c r="AT7" s="338"/>
      <c r="AU7" s="390"/>
      <c r="AV7" s="390"/>
      <c r="AW7" s="390"/>
      <c r="AX7" s="391"/>
      <c r="AY7" s="391"/>
      <c r="AZ7" s="389"/>
      <c r="BA7" s="389"/>
      <c r="BB7" s="389"/>
      <c r="BD7" s="337"/>
      <c r="BE7" s="338"/>
      <c r="BF7" s="389"/>
      <c r="BG7" s="389"/>
      <c r="BH7" s="389"/>
      <c r="BI7" s="389"/>
      <c r="BJ7" s="389"/>
      <c r="BK7" s="389"/>
      <c r="BL7" s="389"/>
      <c r="BM7" s="389"/>
      <c r="BN7" s="583"/>
    </row>
    <row r="8" ht="55.5" customHeight="1">
      <c r="A8" s="249"/>
      <c r="B8" s="598" t="s">
        <v>206</v>
      </c>
      <c r="C8" s="598"/>
      <c r="D8" s="598"/>
      <c r="E8" s="249"/>
      <c r="F8" s="599"/>
      <c r="G8" s="599"/>
      <c r="H8" s="599"/>
      <c r="I8" s="596"/>
      <c r="J8" s="577"/>
      <c r="K8" s="577"/>
      <c r="L8" s="577"/>
      <c r="M8" s="596"/>
      <c r="N8" s="597"/>
      <c r="O8" s="597"/>
      <c r="P8" s="597"/>
      <c r="Q8" s="249"/>
      <c r="R8" s="596"/>
      <c r="S8" s="593"/>
      <c r="T8" s="593"/>
      <c r="U8" s="254"/>
      <c r="V8" s="254"/>
      <c r="W8" s="254"/>
      <c r="X8" s="333">
        <v>700</v>
      </c>
      <c r="Y8" s="254"/>
      <c r="Z8" s="254"/>
      <c r="AA8" s="254"/>
      <c r="AB8" s="254"/>
      <c r="AC8" s="249"/>
      <c r="AD8" s="441"/>
      <c r="AE8" s="249"/>
      <c r="AF8" s="249"/>
      <c r="AG8" s="249"/>
      <c r="AH8" s="249"/>
      <c r="AI8" s="356" t="s">
        <v>207</v>
      </c>
      <c r="AJ8" s="357" t="s">
        <v>208</v>
      </c>
      <c r="AK8" s="357">
        <v>3</v>
      </c>
      <c r="AL8" s="357" t="s">
        <v>197</v>
      </c>
      <c r="AM8" s="357" t="s">
        <v>209</v>
      </c>
      <c r="AN8" s="358" t="s">
        <v>210</v>
      </c>
      <c r="AO8" s="587"/>
      <c r="AP8" s="588"/>
      <c r="AQ8" s="249"/>
      <c r="AR8" s="441"/>
      <c r="AS8" s="334"/>
      <c r="AT8" s="334"/>
      <c r="AU8" s="389"/>
      <c r="AV8" s="389"/>
      <c r="AW8" s="389"/>
      <c r="AX8" s="389"/>
      <c r="AY8" s="389"/>
      <c r="AZ8" s="389"/>
      <c r="BA8" s="389"/>
      <c r="BB8" s="389"/>
      <c r="BD8" s="334"/>
      <c r="BE8" s="334"/>
      <c r="BF8" s="389"/>
      <c r="BG8" s="389"/>
      <c r="BH8" s="389"/>
      <c r="BI8" s="389"/>
      <c r="BJ8" s="389"/>
      <c r="BK8" s="389"/>
      <c r="BL8" s="389"/>
      <c r="BM8" s="389"/>
      <c r="BN8" s="583"/>
    </row>
    <row r="9" ht="55.5" customHeight="1">
      <c r="A9" s="249"/>
      <c r="B9" s="598"/>
      <c r="C9" s="598"/>
      <c r="D9" s="598"/>
      <c r="E9" s="249"/>
      <c r="F9" s="599"/>
      <c r="G9" s="599"/>
      <c r="H9" s="599"/>
      <c r="I9" s="596"/>
      <c r="J9" s="577"/>
      <c r="K9" s="577"/>
      <c r="L9" s="577"/>
      <c r="M9" s="596"/>
      <c r="N9" s="597"/>
      <c r="O9" s="597"/>
      <c r="P9" s="597"/>
      <c r="Q9" s="249"/>
      <c r="R9" s="596"/>
      <c r="S9" s="594"/>
      <c r="T9" s="594"/>
      <c r="U9" s="254"/>
      <c r="V9" s="254"/>
      <c r="W9" s="254"/>
      <c r="X9" s="254"/>
      <c r="Y9" s="254"/>
      <c r="Z9" s="254"/>
      <c r="AA9" s="254"/>
      <c r="AB9" s="254"/>
      <c r="AC9" s="249"/>
      <c r="AD9" s="441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441"/>
      <c r="AS9" s="341" t="s">
        <v>211</v>
      </c>
      <c r="AT9" s="374" t="s">
        <v>212</v>
      </c>
      <c r="AU9" s="389"/>
      <c r="AV9" s="389"/>
      <c r="AW9" s="389"/>
      <c r="AX9" s="389"/>
      <c r="AY9" s="389"/>
      <c r="AZ9" s="389"/>
      <c r="BA9" s="389"/>
      <c r="BB9" s="389"/>
      <c r="BD9" s="341" t="s">
        <v>211</v>
      </c>
      <c r="BE9" s="374" t="s">
        <v>212</v>
      </c>
      <c r="BF9" s="389"/>
      <c r="BG9" s="389"/>
      <c r="BH9" s="389"/>
      <c r="BI9" s="389"/>
      <c r="BJ9" s="389"/>
      <c r="BK9" s="389"/>
      <c r="BL9" s="389"/>
      <c r="BM9" s="389"/>
      <c r="BN9" s="583"/>
    </row>
    <row r="10" ht="55.5" customHeight="1">
      <c r="A10" s="249"/>
      <c r="B10" s="598"/>
      <c r="C10" s="598"/>
      <c r="D10" s="598"/>
      <c r="E10" s="249"/>
      <c r="F10" s="599"/>
      <c r="G10" s="599"/>
      <c r="H10" s="599"/>
      <c r="I10" s="596"/>
      <c r="J10" s="577"/>
      <c r="K10" s="577"/>
      <c r="L10" s="577"/>
      <c r="M10" s="596"/>
      <c r="N10" s="597"/>
      <c r="O10" s="597"/>
      <c r="P10" s="597"/>
      <c r="Q10" s="249"/>
      <c r="R10" s="596"/>
      <c r="S10" s="341" t="s">
        <v>213</v>
      </c>
      <c r="T10" s="374" t="s">
        <v>214</v>
      </c>
      <c r="U10" s="254"/>
      <c r="V10" s="332"/>
      <c r="W10" s="332"/>
      <c r="X10" s="332"/>
      <c r="Y10" s="332"/>
      <c r="Z10" s="332"/>
      <c r="AA10" s="333">
        <v>450</v>
      </c>
      <c r="AB10" s="254"/>
      <c r="AC10" s="249"/>
      <c r="AD10" s="441"/>
      <c r="AE10" s="595" t="s">
        <v>215</v>
      </c>
      <c r="AF10" s="595"/>
      <c r="AG10" s="595"/>
      <c r="AH10" s="595"/>
      <c r="AI10" s="595"/>
      <c r="AJ10" s="595"/>
      <c r="AK10" s="595"/>
      <c r="AL10" s="595"/>
      <c r="AM10" s="595"/>
      <c r="AN10" s="595"/>
      <c r="AO10" s="595"/>
      <c r="AP10" s="595"/>
      <c r="AQ10" s="595"/>
      <c r="AR10" s="441"/>
      <c r="AS10" s="341" t="s">
        <v>213</v>
      </c>
      <c r="AT10" s="374" t="s">
        <v>214</v>
      </c>
      <c r="AU10" s="389"/>
      <c r="AV10" s="393">
        <v>384.5</v>
      </c>
      <c r="AW10" s="392"/>
      <c r="AX10" s="392"/>
      <c r="AY10" s="392"/>
      <c r="AZ10" s="392"/>
      <c r="BA10" s="389"/>
      <c r="BB10" s="389"/>
      <c r="BD10" s="341" t="s">
        <v>213</v>
      </c>
      <c r="BE10" s="374" t="s">
        <v>214</v>
      </c>
      <c r="BF10" s="389"/>
      <c r="BG10" s="393">
        <v>300</v>
      </c>
      <c r="BH10" s="392"/>
      <c r="BI10" s="392"/>
      <c r="BJ10" s="392"/>
      <c r="BK10" s="392"/>
      <c r="BL10" s="389"/>
      <c r="BM10" s="389"/>
      <c r="BN10" s="583"/>
    </row>
    <row r="11" ht="18.75" customHeight="1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596"/>
      <c r="S11" s="377"/>
      <c r="T11" s="343"/>
      <c r="U11" s="254"/>
      <c r="V11" s="332"/>
      <c r="W11" s="332"/>
      <c r="X11" s="332"/>
      <c r="Y11" s="332"/>
      <c r="Z11" s="332"/>
      <c r="AA11" s="332"/>
      <c r="AB11" s="254"/>
      <c r="AC11" s="249"/>
      <c r="AD11" s="441"/>
      <c r="AE11" s="595"/>
      <c r="AF11" s="595"/>
      <c r="AG11" s="595"/>
      <c r="AH11" s="595"/>
      <c r="AI11" s="595"/>
      <c r="AJ11" s="595"/>
      <c r="AK11" s="595"/>
      <c r="AL11" s="595"/>
      <c r="AM11" s="595"/>
      <c r="AN11" s="595"/>
      <c r="AO11" s="595"/>
      <c r="AP11" s="595"/>
      <c r="AQ11" s="595"/>
      <c r="AR11" s="441"/>
      <c r="AS11" s="377"/>
      <c r="AT11" s="343"/>
      <c r="AU11" s="389"/>
      <c r="AV11" s="392"/>
      <c r="AW11" s="392"/>
      <c r="AX11" s="392"/>
      <c r="AY11" s="392"/>
      <c r="AZ11" s="392"/>
      <c r="BA11" s="392"/>
      <c r="BB11" s="389"/>
      <c r="BD11" s="377"/>
      <c r="BE11" s="343"/>
      <c r="BF11" s="389"/>
      <c r="BG11" s="392"/>
      <c r="BH11" s="392"/>
      <c r="BI11" s="392"/>
      <c r="BJ11" s="392"/>
      <c r="BK11" s="392"/>
      <c r="BL11" s="392"/>
      <c r="BM11" s="389"/>
      <c r="BN11" s="583"/>
    </row>
    <row r="12" ht="55.5" customHeight="1" s="254" customFormat="1">
      <c r="A12" s="249"/>
      <c r="B12" s="577"/>
      <c r="C12" s="577"/>
      <c r="D12" s="577"/>
      <c r="E12" s="249"/>
      <c r="F12" s="578"/>
      <c r="G12" s="578"/>
      <c r="H12" s="578"/>
      <c r="I12" s="596"/>
      <c r="J12" s="577"/>
      <c r="K12" s="577"/>
      <c r="L12" s="577"/>
      <c r="M12" s="596"/>
      <c r="N12" s="580"/>
      <c r="O12" s="580"/>
      <c r="P12" s="580"/>
      <c r="Q12" s="249"/>
      <c r="R12" s="596"/>
      <c r="S12" s="339" t="s">
        <v>216</v>
      </c>
      <c r="T12" s="334"/>
      <c r="AC12" s="249"/>
      <c r="AD12" s="441"/>
      <c r="AE12" s="595"/>
      <c r="AF12" s="595"/>
      <c r="AG12" s="595"/>
      <c r="AH12" s="595"/>
      <c r="AI12" s="595"/>
      <c r="AJ12" s="595"/>
      <c r="AK12" s="595"/>
      <c r="AL12" s="595"/>
      <c r="AM12" s="595"/>
      <c r="AN12" s="595"/>
      <c r="AO12" s="595"/>
      <c r="AP12" s="595"/>
      <c r="AQ12" s="595"/>
      <c r="AR12" s="441"/>
      <c r="AS12" s="339" t="s">
        <v>216</v>
      </c>
      <c r="AT12" s="334"/>
      <c r="AU12" s="389"/>
      <c r="AV12" s="389"/>
      <c r="AW12" s="389"/>
      <c r="AX12" s="389"/>
      <c r="AY12" s="389"/>
      <c r="AZ12" s="389"/>
      <c r="BA12" s="393">
        <v>340.5</v>
      </c>
      <c r="BB12" s="389"/>
      <c r="BC12" s="441"/>
      <c r="BD12" s="422" t="s">
        <v>216</v>
      </c>
      <c r="BE12" s="424"/>
      <c r="BF12" s="389"/>
      <c r="BG12" s="389"/>
      <c r="BH12" s="389"/>
      <c r="BI12" s="389"/>
      <c r="BJ12" s="389"/>
      <c r="BK12" s="389"/>
      <c r="BL12" s="393">
        <v>500</v>
      </c>
      <c r="BM12" s="389"/>
      <c r="BN12" s="583"/>
    </row>
    <row r="13" ht="55.5" customHeight="1" s="254" customFormat="1">
      <c r="A13" s="249"/>
      <c r="B13" s="577"/>
      <c r="C13" s="577"/>
      <c r="D13" s="577"/>
      <c r="E13" s="249"/>
      <c r="F13" s="578"/>
      <c r="G13" s="578"/>
      <c r="H13" s="578"/>
      <c r="I13" s="596"/>
      <c r="J13" s="577"/>
      <c r="K13" s="577"/>
      <c r="L13" s="577"/>
      <c r="M13" s="596"/>
      <c r="N13" s="580"/>
      <c r="O13" s="580"/>
      <c r="P13" s="580"/>
      <c r="Q13" s="249"/>
      <c r="R13" s="596"/>
      <c r="S13" s="339" t="s">
        <v>217</v>
      </c>
      <c r="T13" s="342"/>
      <c r="AC13" s="249"/>
      <c r="AD13" s="441"/>
      <c r="AE13" s="595"/>
      <c r="AF13" s="595"/>
      <c r="AG13" s="595"/>
      <c r="AH13" s="595"/>
      <c r="AI13" s="595"/>
      <c r="AJ13" s="595"/>
      <c r="AK13" s="595"/>
      <c r="AL13" s="595"/>
      <c r="AM13" s="595"/>
      <c r="AN13" s="595"/>
      <c r="AO13" s="595"/>
      <c r="AP13" s="595"/>
      <c r="AQ13" s="595"/>
      <c r="AR13" s="441"/>
      <c r="AS13" s="339" t="s">
        <v>217</v>
      </c>
      <c r="AT13" s="339"/>
      <c r="AU13" s="389"/>
      <c r="AV13" s="389"/>
      <c r="AW13" s="389"/>
      <c r="AX13" s="389"/>
      <c r="AY13" s="389"/>
      <c r="AZ13" s="389"/>
      <c r="BA13" s="389" t="s">
        <v>218</v>
      </c>
      <c r="BB13" s="389"/>
      <c r="BC13" s="441"/>
      <c r="BD13" s="422" t="s">
        <v>217</v>
      </c>
      <c r="BE13" s="422"/>
      <c r="BF13" s="389"/>
      <c r="BG13" s="389"/>
      <c r="BH13" s="389"/>
      <c r="BI13" s="389"/>
      <c r="BJ13" s="389"/>
      <c r="BK13" s="389"/>
      <c r="BL13" s="389"/>
      <c r="BM13" s="389"/>
      <c r="BN13" s="583"/>
    </row>
    <row r="14" ht="55.5" customHeight="1" s="254" customFormat="1">
      <c r="A14" s="249"/>
      <c r="B14" s="577"/>
      <c r="C14" s="577"/>
      <c r="D14" s="577"/>
      <c r="E14" s="249"/>
      <c r="F14" s="578"/>
      <c r="G14" s="578"/>
      <c r="H14" s="578"/>
      <c r="I14" s="596"/>
      <c r="J14" s="577"/>
      <c r="K14" s="577"/>
      <c r="L14" s="577"/>
      <c r="M14" s="596"/>
      <c r="N14" s="580"/>
      <c r="O14" s="580"/>
      <c r="P14" s="580"/>
      <c r="Q14" s="249"/>
      <c r="R14" s="596"/>
      <c r="S14" s="339" t="s">
        <v>219</v>
      </c>
      <c r="T14" s="340"/>
      <c r="U14" s="333" t="s">
        <v>220</v>
      </c>
      <c r="V14" s="249"/>
      <c r="W14" s="249"/>
      <c r="X14" s="249"/>
      <c r="Y14" s="249"/>
      <c r="Z14" s="574" t="str">
        <f>IF(T5="","برجاء ادخال طريقة الدهان",IF(T6="","برجاء ادخال لون الالومنيوم",IF(U14="","برجاء ادخال طريقة التثبيت",IF(AA10="","برجاء ادخال عرض البرجولة",IF(X8="","برجاء ادخال امتداد البرجولة","OK")))))</f>
        <v>OK</v>
      </c>
      <c r="AA14" s="574"/>
      <c r="AB14" s="574"/>
      <c r="AC14" s="574"/>
      <c r="AD14" s="441"/>
      <c r="AE14" s="595"/>
      <c r="AF14" s="595"/>
      <c r="AG14" s="595"/>
      <c r="AH14" s="595"/>
      <c r="AI14" s="595"/>
      <c r="AJ14" s="595"/>
      <c r="AK14" s="595"/>
      <c r="AL14" s="595"/>
      <c r="AM14" s="595"/>
      <c r="AN14" s="595"/>
      <c r="AO14" s="595"/>
      <c r="AP14" s="595"/>
      <c r="AQ14" s="595"/>
      <c r="AR14" s="441"/>
      <c r="AS14" s="339" t="s">
        <v>219</v>
      </c>
      <c r="AT14" s="339"/>
      <c r="AU14" s="333" t="s">
        <v>221</v>
      </c>
      <c r="AV14" s="249"/>
      <c r="AW14" s="249"/>
      <c r="AX14" s="249"/>
      <c r="AY14" s="249"/>
      <c r="AZ14" s="574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البرجولة",IF(OR((BA12=""),(BA12&gt;700)),"برجاء مراجعة امتداد البرجولة","OK")))))</f>
        <v>OK</v>
      </c>
      <c r="BA14" s="574"/>
      <c r="BB14" s="574"/>
      <c r="BC14" s="441"/>
      <c r="BD14" s="422" t="s">
        <v>219</v>
      </c>
      <c r="BE14" s="422"/>
      <c r="BF14" s="423" t="s">
        <v>220</v>
      </c>
      <c r="BG14" s="249"/>
      <c r="BH14" s="249"/>
      <c r="BI14" s="249"/>
      <c r="BJ14" s="249"/>
      <c r="BK14" s="574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البرجولة",IF(OR((BL12=""),(BL12&gt;700)),"برجاء مراجعة امتداد البرجولة","OK")))))</f>
        <v>OK</v>
      </c>
      <c r="BL14" s="574"/>
      <c r="BM14" s="574"/>
      <c r="BN14" s="574"/>
    </row>
    <row r="15" ht="18.75" customHeight="1" s="254" customFormat="1">
      <c r="A15" s="249"/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596"/>
      <c r="P15" s="596"/>
      <c r="Q15" s="249"/>
      <c r="R15" s="596"/>
      <c r="S15" s="412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441"/>
      <c r="AE15" s="595"/>
      <c r="AF15" s="595"/>
      <c r="AG15" s="595"/>
      <c r="AH15" s="595"/>
      <c r="AI15" s="595"/>
      <c r="AJ15" s="595"/>
      <c r="AK15" s="595"/>
      <c r="AL15" s="595"/>
      <c r="AM15" s="595"/>
      <c r="AN15" s="595"/>
      <c r="AO15" s="595"/>
      <c r="AP15" s="595"/>
      <c r="AQ15" s="595"/>
      <c r="AR15" s="441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441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</row>
    <row r="16" ht="39.75" customHeight="1" s="254" customFormat="1">
      <c r="A16" s="596"/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441"/>
      <c r="AE16" s="595"/>
      <c r="AF16" s="595"/>
      <c r="AG16" s="595"/>
      <c r="AH16" s="595"/>
      <c r="AI16" s="595"/>
      <c r="AJ16" s="595"/>
      <c r="AK16" s="595"/>
      <c r="AL16" s="595"/>
      <c r="AM16" s="595"/>
      <c r="AN16" s="595"/>
      <c r="AO16" s="595"/>
      <c r="AP16" s="595"/>
      <c r="AQ16" s="595"/>
      <c r="AR16" s="441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441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</row>
    <row r="17" ht="39.75" customHeight="1" s="254" customFormat="1">
      <c r="A17" s="596"/>
      <c r="B17" s="596"/>
      <c r="C17" s="596"/>
      <c r="D17" s="596"/>
      <c r="E17" s="596"/>
      <c r="F17" s="596"/>
      <c r="G17" s="596"/>
      <c r="H17" s="596"/>
      <c r="I17" s="596"/>
      <c r="J17" s="596"/>
      <c r="K17" s="596"/>
      <c r="L17" s="596"/>
      <c r="M17" s="596"/>
      <c r="N17" s="596"/>
      <c r="O17" s="596"/>
      <c r="P17" s="596"/>
      <c r="Q17" s="596"/>
      <c r="R17" s="596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441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441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441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</row>
    <row r="18" ht="39.75" customHeight="1" s="254" customFormat="1">
      <c r="A18" s="596"/>
      <c r="B18" s="596"/>
      <c r="C18" s="596"/>
      <c r="D18" s="596"/>
      <c r="E18" s="596"/>
      <c r="F18" s="596"/>
      <c r="G18" s="596"/>
      <c r="H18" s="596"/>
      <c r="I18" s="596"/>
      <c r="J18" s="596"/>
      <c r="K18" s="596"/>
      <c r="L18" s="596"/>
      <c r="M18" s="596"/>
      <c r="N18" s="596"/>
      <c r="O18" s="596"/>
      <c r="P18" s="596"/>
      <c r="Q18" s="596"/>
      <c r="R18" s="596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441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441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441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</row>
    <row r="19" ht="39.75" customHeight="1" s="254" customFormat="1">
      <c r="A19" s="596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441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441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441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</row>
    <row r="20" ht="39.75" customHeight="1" s="254" customFormat="1">
      <c r="A20" s="596"/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441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441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441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</row>
    <row r="21" ht="39.75" customHeight="1" s="254" customFormat="1">
      <c r="A21" s="573" t="s">
        <v>222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96"/>
      <c r="S21" s="603" t="s">
        <v>223</v>
      </c>
      <c r="T21" s="604"/>
      <c r="U21" s="249"/>
      <c r="V21" s="249"/>
      <c r="W21" s="249"/>
      <c r="X21" s="249"/>
      <c r="Y21" s="249"/>
      <c r="Z21" s="249"/>
      <c r="AA21" s="249"/>
      <c r="AB21" s="249"/>
      <c r="AC21" s="249"/>
      <c r="AD21" s="441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441"/>
      <c r="AS21" s="371" t="s">
        <v>224</v>
      </c>
      <c r="AT21" s="371"/>
      <c r="AU21" s="468"/>
      <c r="AW21" s="467"/>
      <c r="BC21" s="441"/>
      <c r="BD21" s="371" t="s">
        <v>225</v>
      </c>
      <c r="BE21" s="371"/>
      <c r="BF21" s="468"/>
      <c r="BH21" s="467"/>
      <c r="BN21" s="249"/>
    </row>
    <row r="22" ht="39.75" customHeight="1" s="254" customFormat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96"/>
      <c r="S22" s="399" t="s">
        <v>192</v>
      </c>
      <c r="T22" s="363">
        <f>Royal2!G88</f>
        <v>244912.40235770747</v>
      </c>
      <c r="U22" s="249"/>
      <c r="V22" s="249"/>
      <c r="W22" s="249"/>
      <c r="X22" s="249"/>
      <c r="Y22" s="249"/>
      <c r="Z22" s="249"/>
      <c r="AA22" s="249"/>
      <c r="AB22" s="249"/>
      <c r="AC22" s="249"/>
      <c r="AD22" s="441"/>
      <c r="AE22" s="601" t="s">
        <v>192</v>
      </c>
      <c r="AF22" s="601"/>
      <c r="AG22" s="600">
        <f>'شماسي و كانتليفر'!AE12</f>
        <v>26721.5</v>
      </c>
      <c r="AH22" s="600"/>
      <c r="AI22" s="249"/>
      <c r="AJ22" s="249"/>
      <c r="AK22" s="249"/>
      <c r="AL22" s="249"/>
      <c r="AM22" s="249"/>
      <c r="AN22" s="249"/>
      <c r="AO22" s="249"/>
      <c r="AP22" s="249"/>
      <c r="AQ22" s="249"/>
      <c r="AR22" s="441"/>
      <c r="AS22" s="396" t="s">
        <v>192</v>
      </c>
      <c r="AT22" s="397">
        <f>'بيرسا و لوفرز'!R72</f>
        <v>212097.63600000003</v>
      </c>
      <c r="AU22" s="469"/>
      <c r="BC22" s="441"/>
      <c r="BD22" s="396" t="s">
        <v>192</v>
      </c>
      <c r="BE22" s="397">
        <f>'بيرسا و لوفرز'!R146</f>
        <v>223547.211</v>
      </c>
      <c r="BF22" s="469"/>
      <c r="BN22" s="249"/>
    </row>
    <row r="23" ht="39.75" customHeight="1" s="254" customFormat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96"/>
      <c r="S23" s="400" t="s">
        <v>162</v>
      </c>
      <c r="T23" s="363">
        <f>T22/(AA33*X31)*10000</f>
        <v>6122.8100589426867</v>
      </c>
      <c r="U23" s="249"/>
      <c r="V23" s="249"/>
      <c r="W23" s="249"/>
      <c r="X23" s="249"/>
      <c r="Y23" s="249"/>
      <c r="Z23" s="249"/>
      <c r="AA23" s="249"/>
      <c r="AB23" s="249"/>
      <c r="AC23" s="249"/>
      <c r="AD23" s="441"/>
      <c r="AE23" s="601"/>
      <c r="AF23" s="601"/>
      <c r="AG23" s="600"/>
      <c r="AH23" s="600"/>
      <c r="AI23" s="252"/>
      <c r="AJ23" s="252"/>
      <c r="AK23" s="249"/>
      <c r="AL23" s="249"/>
      <c r="AM23" s="249"/>
      <c r="AN23" s="249"/>
      <c r="AO23" s="249"/>
      <c r="AP23" s="249"/>
      <c r="AQ23" s="249"/>
      <c r="AR23" s="441"/>
      <c r="AS23" s="396" t="s">
        <v>162</v>
      </c>
      <c r="AT23" s="398">
        <f>AT22/(AT33*AT34/10000)</f>
        <v>10604.881800000001</v>
      </c>
      <c r="AU23" s="469"/>
      <c r="AV23" s="470"/>
      <c r="BC23" s="441"/>
      <c r="BD23" s="396" t="s">
        <v>162</v>
      </c>
      <c r="BE23" s="398">
        <f>BE22/(BE33*BE34/10000)</f>
        <v>11177.360550000001</v>
      </c>
      <c r="BF23" s="469"/>
      <c r="BG23" s="470"/>
      <c r="BN23" s="249"/>
    </row>
    <row r="24" ht="39.75" customHeight="1" s="254" customFormat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96"/>
      <c r="S24" s="401" t="s">
        <v>193</v>
      </c>
      <c r="T24" s="368" t="s">
        <v>118</v>
      </c>
      <c r="U24" s="346"/>
      <c r="V24" s="346"/>
      <c r="W24" s="346"/>
      <c r="X24" s="346"/>
      <c r="Y24" s="346"/>
      <c r="Z24" s="346"/>
      <c r="AA24" s="346"/>
      <c r="AB24" s="346"/>
      <c r="AC24" s="346"/>
      <c r="AD24" s="441"/>
      <c r="AE24" s="414"/>
      <c r="AF24" s="413"/>
      <c r="AG24" s="413"/>
      <c r="AH24" s="252"/>
      <c r="AI24" s="252"/>
      <c r="AJ24" s="252"/>
      <c r="AK24" s="249"/>
      <c r="AL24" s="249"/>
      <c r="AM24" s="249"/>
      <c r="AN24" s="249"/>
      <c r="AO24" s="249"/>
      <c r="AP24" s="249"/>
      <c r="AQ24" s="249"/>
      <c r="AR24" s="441"/>
      <c r="AS24" s="335" t="s">
        <v>193</v>
      </c>
      <c r="AT24" s="374" t="s">
        <v>100</v>
      </c>
      <c r="BC24" s="441"/>
      <c r="BD24" s="335" t="s">
        <v>193</v>
      </c>
      <c r="BE24" s="374" t="s">
        <v>115</v>
      </c>
      <c r="BN24" s="249"/>
    </row>
    <row r="25" ht="39.75" customHeight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96"/>
      <c r="S25" s="402" t="s">
        <v>194</v>
      </c>
      <c r="T25" s="350" t="s">
        <v>195</v>
      </c>
      <c r="U25" s="346"/>
      <c r="V25" s="346"/>
      <c r="W25" s="346"/>
      <c r="X25" s="346"/>
      <c r="Y25" s="346"/>
      <c r="Z25" s="346"/>
      <c r="AA25" s="346"/>
      <c r="AB25" s="346"/>
      <c r="AC25" s="346"/>
      <c r="AD25" s="441"/>
      <c r="AE25" s="414"/>
      <c r="AF25" s="413"/>
      <c r="AG25" s="413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441"/>
      <c r="AS25" s="335" t="s">
        <v>194</v>
      </c>
      <c r="AT25" s="375" t="s">
        <v>195</v>
      </c>
      <c r="AW25" s="480">
        <f>AT34</f>
        <v>500</v>
      </c>
      <c r="BD25" s="335" t="s">
        <v>194</v>
      </c>
      <c r="BE25" s="375" t="s">
        <v>195</v>
      </c>
      <c r="BH25" s="480">
        <f>BE34</f>
        <v>500</v>
      </c>
      <c r="BN25" s="249"/>
    </row>
    <row r="26" ht="39.75" customHeight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96"/>
      <c r="S26" s="401" t="s">
        <v>196</v>
      </c>
      <c r="T26" s="349" t="s">
        <v>197</v>
      </c>
      <c r="U26" s="346"/>
      <c r="V26" s="346"/>
      <c r="W26" s="346"/>
      <c r="X26" s="346"/>
      <c r="Y26" s="346"/>
      <c r="Z26" s="346"/>
      <c r="AA26" s="346"/>
      <c r="AB26" s="346"/>
      <c r="AC26" s="346"/>
      <c r="AD26" s="441"/>
      <c r="AE26" s="249"/>
      <c r="AF26" s="249"/>
      <c r="AG26" s="581" t="s">
        <v>198</v>
      </c>
      <c r="AH26" s="608" t="s">
        <v>226</v>
      </c>
      <c r="AI26" s="581" t="s">
        <v>201</v>
      </c>
      <c r="AJ26" s="581" t="s">
        <v>202</v>
      </c>
      <c r="AK26" s="581" t="s">
        <v>203</v>
      </c>
      <c r="AL26" s="619" t="s">
        <v>204</v>
      </c>
      <c r="AM26" s="619"/>
      <c r="AN26" s="249"/>
      <c r="AO26" s="249"/>
      <c r="AP26" s="249"/>
      <c r="AQ26" s="249"/>
      <c r="AR26" s="441"/>
      <c r="AS26" s="336" t="s">
        <v>196</v>
      </c>
      <c r="AT26" s="376" t="s">
        <v>197</v>
      </c>
      <c r="BD26" s="336" t="s">
        <v>196</v>
      </c>
      <c r="BE26" s="376" t="s">
        <v>197</v>
      </c>
      <c r="BN26" s="249"/>
    </row>
    <row r="27" ht="39.75" customHeight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96"/>
      <c r="S27" s="364"/>
      <c r="T27" s="351"/>
      <c r="U27" s="346"/>
      <c r="V27" s="346"/>
      <c r="W27" s="346"/>
      <c r="X27" s="346"/>
      <c r="Y27" s="346"/>
      <c r="Z27" s="346"/>
      <c r="AA27" s="346"/>
      <c r="AB27" s="346"/>
      <c r="AC27" s="346"/>
      <c r="AD27" s="441"/>
      <c r="AE27" s="249"/>
      <c r="AF27" s="249"/>
      <c r="AG27" s="582"/>
      <c r="AH27" s="609"/>
      <c r="AI27" s="582"/>
      <c r="AJ27" s="582"/>
      <c r="AK27" s="582"/>
      <c r="AL27" s="620"/>
      <c r="AM27" s="620"/>
      <c r="AN27" s="249"/>
      <c r="AO27" s="249"/>
      <c r="AP27" s="249"/>
      <c r="AQ27" s="249"/>
      <c r="AR27" s="441"/>
      <c r="AS27" s="337"/>
      <c r="AT27" s="338"/>
      <c r="AU27" s="465"/>
      <c r="AV27" s="465"/>
      <c r="AW27" s="465"/>
      <c r="AX27" s="466"/>
      <c r="AY27" s="466"/>
      <c r="BD27" s="337"/>
      <c r="BE27" s="338"/>
      <c r="BF27" s="465"/>
      <c r="BG27" s="465"/>
      <c r="BH27" s="465"/>
      <c r="BI27" s="466"/>
      <c r="BJ27" s="466"/>
      <c r="BN27" s="249"/>
    </row>
    <row r="28" ht="39.75" customHeight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96"/>
      <c r="S28" s="364"/>
      <c r="T28" s="364"/>
      <c r="U28" s="254"/>
      <c r="V28" s="254"/>
      <c r="W28" s="254"/>
      <c r="X28" s="254"/>
      <c r="Y28" s="254"/>
      <c r="Z28" s="254"/>
      <c r="AA28" s="254"/>
      <c r="AB28" s="254"/>
      <c r="AC28" s="254"/>
      <c r="AD28" s="441"/>
      <c r="AE28" s="249"/>
      <c r="AF28" s="249"/>
      <c r="AG28" s="575" t="s">
        <v>207</v>
      </c>
      <c r="AH28" s="575" t="s">
        <v>227</v>
      </c>
      <c r="AI28" s="575" t="s">
        <v>197</v>
      </c>
      <c r="AJ28" s="575" t="s">
        <v>228</v>
      </c>
      <c r="AK28" s="575" t="s">
        <v>229</v>
      </c>
      <c r="AL28" s="617"/>
      <c r="AM28" s="617"/>
      <c r="AN28" s="249"/>
      <c r="AO28" s="249"/>
      <c r="AP28" s="249"/>
      <c r="AQ28" s="249"/>
      <c r="AR28" s="441"/>
      <c r="AS28" s="334"/>
      <c r="AT28" s="334"/>
      <c r="BD28" s="334"/>
      <c r="BE28" s="334"/>
      <c r="BN28" s="249"/>
    </row>
    <row r="29" ht="39.75" customHeight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96"/>
      <c r="S29" s="364"/>
      <c r="T29" s="351"/>
      <c r="U29" s="254"/>
      <c r="V29" s="254"/>
      <c r="W29" s="254"/>
      <c r="X29" s="254"/>
      <c r="Y29" s="254"/>
      <c r="Z29" s="254"/>
      <c r="AA29" s="254"/>
      <c r="AB29" s="254"/>
      <c r="AC29" s="254"/>
      <c r="AD29" s="441"/>
      <c r="AE29" s="249"/>
      <c r="AF29" s="249"/>
      <c r="AG29" s="576"/>
      <c r="AH29" s="576"/>
      <c r="AI29" s="576"/>
      <c r="AJ29" s="576"/>
      <c r="AK29" s="576"/>
      <c r="AL29" s="618"/>
      <c r="AM29" s="618"/>
      <c r="AN29" s="249"/>
      <c r="AO29" s="249"/>
      <c r="AP29" s="249"/>
      <c r="AQ29" s="249"/>
      <c r="AR29" s="441"/>
      <c r="AS29" s="341" t="s">
        <v>211</v>
      </c>
      <c r="AT29" s="471" t="s">
        <v>212</v>
      </c>
      <c r="BD29" s="341" t="s">
        <v>211</v>
      </c>
      <c r="BE29" s="471" t="s">
        <v>212</v>
      </c>
      <c r="BN29" s="249"/>
    </row>
    <row r="30" ht="39.75" customHeight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96"/>
      <c r="S30" s="401" t="s">
        <v>230</v>
      </c>
      <c r="T30" s="352"/>
      <c r="U30" s="254"/>
      <c r="V30" s="254"/>
      <c r="W30" s="254"/>
      <c r="X30" s="254"/>
      <c r="Y30" s="254"/>
      <c r="Z30" s="254"/>
      <c r="AA30" s="254"/>
      <c r="AB30" s="254"/>
      <c r="AC30" s="254"/>
      <c r="AD30" s="441"/>
      <c r="AE30" s="249"/>
      <c r="AF30" s="249"/>
      <c r="AG30" s="249"/>
      <c r="AH30" s="249"/>
      <c r="AI30" s="312"/>
      <c r="AJ30" s="312"/>
      <c r="AK30" s="249"/>
      <c r="AL30" s="249"/>
      <c r="AM30" s="249"/>
      <c r="AN30" s="249"/>
      <c r="AO30" s="249"/>
      <c r="AP30" s="249"/>
      <c r="AQ30" s="249"/>
      <c r="AR30" s="441"/>
      <c r="AS30" s="341" t="s">
        <v>213</v>
      </c>
      <c r="AT30" s="471" t="s">
        <v>214</v>
      </c>
      <c r="AV30" s="472"/>
      <c r="AW30" s="467"/>
      <c r="AX30" s="467"/>
      <c r="AY30" s="467"/>
      <c r="AZ30" s="467"/>
      <c r="BD30" s="341" t="s">
        <v>213</v>
      </c>
      <c r="BE30" s="471" t="s">
        <v>214</v>
      </c>
      <c r="BG30" s="472"/>
      <c r="BH30" s="467"/>
      <c r="BI30" s="467"/>
      <c r="BJ30" s="467"/>
      <c r="BK30" s="467"/>
      <c r="BN30" s="249"/>
    </row>
    <row r="31" ht="39.75" customHeight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96"/>
      <c r="S31" s="401" t="s">
        <v>231</v>
      </c>
      <c r="T31" s="352"/>
      <c r="U31" s="365" t="s">
        <v>214</v>
      </c>
      <c r="V31" s="254"/>
      <c r="W31" s="254"/>
      <c r="X31" s="366">
        <v>800</v>
      </c>
      <c r="Y31" s="254"/>
      <c r="Z31" s="254"/>
      <c r="AA31" s="254"/>
      <c r="AB31" s="254"/>
      <c r="AC31" s="254"/>
      <c r="AD31" s="441"/>
      <c r="AE31" s="572" t="s">
        <v>232</v>
      </c>
      <c r="AF31" s="572"/>
      <c r="AG31" s="572"/>
      <c r="AH31" s="572"/>
      <c r="AI31" s="572"/>
      <c r="AJ31" s="572"/>
      <c r="AK31" s="572"/>
      <c r="AL31" s="572"/>
      <c r="AM31" s="572"/>
      <c r="AN31" s="572"/>
      <c r="AO31" s="572"/>
      <c r="AP31" s="572"/>
      <c r="AQ31" s="249"/>
      <c r="AR31" s="441"/>
      <c r="AS31" s="377"/>
      <c r="AT31" s="343"/>
      <c r="AV31" s="467"/>
      <c r="AW31" s="467"/>
      <c r="AX31" s="467"/>
      <c r="AY31" s="467"/>
      <c r="AZ31" s="467"/>
      <c r="BA31" s="467"/>
      <c r="BD31" s="377"/>
      <c r="BE31" s="343"/>
      <c r="BG31" s="467"/>
      <c r="BH31" s="467"/>
      <c r="BI31" s="467"/>
      <c r="BJ31" s="467"/>
      <c r="BK31" s="467"/>
      <c r="BL31" s="467"/>
      <c r="BN31" s="249"/>
    </row>
    <row r="32" ht="39.75" customHeight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96"/>
      <c r="S32" s="401" t="s">
        <v>216</v>
      </c>
      <c r="T32" s="353" t="s">
        <v>220</v>
      </c>
      <c r="U32" s="416"/>
      <c r="V32" s="416"/>
      <c r="W32" s="416"/>
      <c r="X32" s="416"/>
      <c r="Y32" s="416"/>
      <c r="Z32" s="416"/>
      <c r="AA32" s="416"/>
      <c r="AB32" s="416"/>
      <c r="AC32" s="416"/>
      <c r="AD32" s="441"/>
      <c r="AE32" s="249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249"/>
      <c r="AR32" s="441"/>
      <c r="AS32" s="339" t="s">
        <v>216</v>
      </c>
      <c r="AT32" s="333" t="s">
        <v>220</v>
      </c>
      <c r="BA32" s="472"/>
      <c r="BD32" s="339" t="s">
        <v>216</v>
      </c>
      <c r="BE32" s="333" t="s">
        <v>220</v>
      </c>
      <c r="BL32" s="472"/>
      <c r="BN32" s="249"/>
    </row>
    <row r="33" ht="39.75" customHeight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96"/>
      <c r="S33" s="401" t="s">
        <v>217</v>
      </c>
      <c r="T33" s="354"/>
      <c r="U33" s="416"/>
      <c r="V33" s="602"/>
      <c r="W33" s="602"/>
      <c r="X33" s="417"/>
      <c r="Y33" s="416"/>
      <c r="Z33" s="416"/>
      <c r="AA33" s="353">
        <v>500</v>
      </c>
      <c r="AB33" s="416"/>
      <c r="AC33" s="416"/>
      <c r="AD33" s="441"/>
      <c r="AE33" s="580"/>
      <c r="AF33" s="580"/>
      <c r="AG33" s="580"/>
      <c r="AH33" s="580"/>
      <c r="AI33" s="580"/>
      <c r="AJ33" s="580"/>
      <c r="AK33" s="580"/>
      <c r="AL33" s="580"/>
      <c r="AM33" s="580"/>
      <c r="AN33" s="580"/>
      <c r="AO33" s="580"/>
      <c r="AP33" s="580"/>
      <c r="AQ33" s="580"/>
      <c r="AR33" s="441"/>
      <c r="AS33" s="339" t="s">
        <v>217</v>
      </c>
      <c r="AT33" s="339">
        <v>400</v>
      </c>
      <c r="BA33" s="0" t="s">
        <v>218</v>
      </c>
      <c r="BD33" s="339" t="s">
        <v>217</v>
      </c>
      <c r="BE33" s="339">
        <v>400</v>
      </c>
      <c r="BL33" s="0" t="s">
        <v>218</v>
      </c>
      <c r="BN33" s="249"/>
    </row>
    <row r="34" ht="40.5" customHeight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96"/>
      <c r="S34" s="401" t="s">
        <v>219</v>
      </c>
      <c r="T34" s="354"/>
      <c r="U34" s="416"/>
      <c r="V34" s="416"/>
      <c r="W34" s="416"/>
      <c r="X34" s="417"/>
      <c r="Y34" s="416"/>
      <c r="Z34" s="416"/>
      <c r="AA34" s="416"/>
      <c r="AB34" s="416"/>
      <c r="AC34" s="416"/>
      <c r="AD34" s="441"/>
      <c r="AE34" s="580"/>
      <c r="AF34" s="580"/>
      <c r="AG34" s="580"/>
      <c r="AH34" s="580"/>
      <c r="AI34" s="580"/>
      <c r="AJ34" s="580"/>
      <c r="AK34" s="580"/>
      <c r="AL34" s="580"/>
      <c r="AM34" s="580"/>
      <c r="AN34" s="580"/>
      <c r="AO34" s="580"/>
      <c r="AP34" s="580"/>
      <c r="AQ34" s="580"/>
      <c r="AR34" s="441"/>
      <c r="AS34" s="339" t="s">
        <v>219</v>
      </c>
      <c r="AT34" s="339">
        <v>500</v>
      </c>
      <c r="AU34" s="473"/>
      <c r="AZ34" s="571"/>
      <c r="BA34" s="571"/>
      <c r="BB34" s="571"/>
      <c r="BD34" s="339" t="s">
        <v>219</v>
      </c>
      <c r="BE34" s="339">
        <v>500</v>
      </c>
      <c r="BF34" s="473"/>
      <c r="BK34" s="571"/>
      <c r="BL34" s="571"/>
      <c r="BM34" s="571"/>
      <c r="BN34" s="249"/>
    </row>
    <row r="35" ht="41.25" customHeight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96"/>
      <c r="S35" s="249"/>
      <c r="T35" s="249"/>
      <c r="U35" s="416"/>
      <c r="V35" s="418"/>
      <c r="W35" s="418"/>
      <c r="X35" s="418"/>
      <c r="Y35" s="416"/>
      <c r="Z35" s="416"/>
      <c r="AA35" s="416"/>
      <c r="AB35" s="416"/>
      <c r="AC35" s="416"/>
      <c r="AD35" s="441"/>
      <c r="AE35" s="580"/>
      <c r="AF35" s="580"/>
      <c r="AG35" s="580"/>
      <c r="AH35" s="580"/>
      <c r="AI35" s="580"/>
      <c r="AJ35" s="580"/>
      <c r="AK35" s="580"/>
      <c r="AL35" s="580"/>
      <c r="AM35" s="580"/>
      <c r="AN35" s="580"/>
      <c r="AO35" s="580"/>
      <c r="AP35" s="580"/>
      <c r="AQ35" s="580"/>
      <c r="AR35" s="441"/>
      <c r="AS35" s="249"/>
      <c r="AT35" s="249"/>
      <c r="BD35" s="249"/>
      <c r="BE35" s="249"/>
      <c r="BN35" s="249"/>
    </row>
    <row r="36" ht="41.25" customHeight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96"/>
      <c r="S36" s="249"/>
      <c r="T36" s="249"/>
      <c r="U36" s="416"/>
      <c r="V36" s="416"/>
      <c r="W36" s="416"/>
      <c r="X36" s="416"/>
      <c r="Y36" s="416"/>
      <c r="Z36" s="416"/>
      <c r="AA36" s="416"/>
      <c r="AB36" s="416"/>
      <c r="AC36" s="367" t="s">
        <v>233</v>
      </c>
      <c r="AD36" s="441"/>
      <c r="AE36" s="580"/>
      <c r="AF36" s="580"/>
      <c r="AG36" s="580"/>
      <c r="AH36" s="580"/>
      <c r="AI36" s="580"/>
      <c r="AJ36" s="580"/>
      <c r="AK36" s="580"/>
      <c r="AL36" s="580"/>
      <c r="AM36" s="580"/>
      <c r="AN36" s="580"/>
      <c r="AO36" s="580"/>
      <c r="AP36" s="580"/>
      <c r="AQ36" s="580"/>
      <c r="AR36" s="441"/>
      <c r="AS36" s="249"/>
      <c r="AT36" s="249"/>
      <c r="BA36" s="480">
        <f>AT33</f>
        <v>400</v>
      </c>
      <c r="BD36" s="249"/>
      <c r="BE36" s="249"/>
      <c r="BN36" s="249"/>
    </row>
    <row r="37" ht="41.25" customHeight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96"/>
      <c r="S37" s="249"/>
      <c r="T37" s="249"/>
      <c r="U37" s="249"/>
      <c r="V37" s="249"/>
      <c r="W37" s="249"/>
      <c r="X37" s="249"/>
      <c r="Y37" s="249"/>
      <c r="Z37" s="579" t="str">
        <f>IF(T25="","برجاء ادخال طريقة الدهان",IF(T26="","برجاء ادخال لون الالومنيوم",IF(T32="","برجاء ادخال طريقة التثبيت",IF(AA33="","برجاء ادخال عرض البرجولة",IF(X31="","برجاء ادخال امتداد البرجولة","OK")))))</f>
        <v>OK</v>
      </c>
      <c r="AA37" s="579"/>
      <c r="AB37" s="579"/>
      <c r="AC37" s="579"/>
      <c r="AD37" s="441"/>
      <c r="AE37" s="580"/>
      <c r="AF37" s="580"/>
      <c r="AG37" s="580"/>
      <c r="AH37" s="580"/>
      <c r="AI37" s="580"/>
      <c r="AJ37" s="580"/>
      <c r="AK37" s="580"/>
      <c r="AL37" s="580"/>
      <c r="AM37" s="580"/>
      <c r="AN37" s="580"/>
      <c r="AO37" s="580"/>
      <c r="AP37" s="580"/>
      <c r="AQ37" s="580"/>
      <c r="AR37" s="441"/>
      <c r="AS37" s="611">
        <f>('بيرسا و لوفرز'!F23+'بيرسا و لوفرز'!V58+'بيرسا و لوفرز'!V66)*1.35</f>
        <v>158959.26</v>
      </c>
      <c r="AT37" s="612"/>
      <c r="BD37" s="611">
        <f>'بيرسا و لوفرز'!F101*1.35</f>
        <v>153424.26</v>
      </c>
      <c r="BE37" s="612"/>
      <c r="BN37" s="249"/>
    </row>
    <row r="38" ht="41.25" customHeight="1">
      <c r="A38" s="596"/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596"/>
      <c r="Q38" s="596"/>
      <c r="R38" s="596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441"/>
      <c r="AE38" s="580"/>
      <c r="AF38" s="580"/>
      <c r="AG38" s="580"/>
      <c r="AH38" s="580"/>
      <c r="AI38" s="580"/>
      <c r="AJ38" s="580"/>
      <c r="AK38" s="580"/>
      <c r="AL38" s="580"/>
      <c r="AM38" s="580"/>
      <c r="AN38" s="580"/>
      <c r="AO38" s="580"/>
      <c r="AP38" s="580"/>
      <c r="AQ38" s="580"/>
      <c r="AR38" s="441"/>
      <c r="AS38" s="611">
        <f>AS37/(AT34*AT33/10000)</f>
        <v>7947.9630000000006</v>
      </c>
      <c r="AT38" s="612"/>
      <c r="BD38" s="611">
        <f>BD37/(BE33*BE34/10000)</f>
        <v>7671.2130000000006</v>
      </c>
      <c r="BE38" s="612"/>
      <c r="BK38" s="480">
        <f>BE33</f>
        <v>400</v>
      </c>
      <c r="BN38" s="249"/>
    </row>
    <row r="39" ht="41.25" customHeight="1">
      <c r="A39" s="596"/>
      <c r="B39" s="596"/>
      <c r="C39" s="596"/>
      <c r="D39" s="596"/>
      <c r="E39" s="596"/>
      <c r="F39" s="596"/>
      <c r="G39" s="596"/>
      <c r="H39" s="596"/>
      <c r="I39" s="596"/>
      <c r="J39" s="596"/>
      <c r="K39" s="596"/>
      <c r="L39" s="596"/>
      <c r="M39" s="596"/>
      <c r="N39" s="596"/>
      <c r="O39" s="596"/>
      <c r="P39" s="596"/>
      <c r="Q39" s="596"/>
      <c r="R39" s="596"/>
      <c r="S39" s="596"/>
      <c r="T39" s="596"/>
      <c r="U39" s="596"/>
      <c r="V39" s="596"/>
      <c r="W39" s="596"/>
      <c r="X39" s="596"/>
      <c r="Y39" s="596"/>
      <c r="Z39" s="596"/>
      <c r="AA39" s="596"/>
      <c r="AB39" s="596"/>
      <c r="AC39" s="596"/>
      <c r="AD39" s="441"/>
      <c r="AE39" s="249"/>
      <c r="AF39" s="249"/>
      <c r="AG39" s="249"/>
      <c r="AH39" s="249"/>
      <c r="AI39" s="249"/>
      <c r="AJ39" s="312"/>
      <c r="AK39" s="312"/>
      <c r="AL39" s="249"/>
      <c r="AM39" s="249"/>
      <c r="AN39" s="249"/>
      <c r="AO39" s="249"/>
      <c r="AP39" s="249"/>
      <c r="AQ39" s="249"/>
      <c r="AR39" s="441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</row>
    <row r="40" ht="30.75" customHeight="1">
      <c r="A40" s="596"/>
      <c r="B40" s="596"/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6"/>
      <c r="O40" s="596"/>
      <c r="P40" s="596"/>
      <c r="Q40" s="596"/>
      <c r="R40" s="596"/>
      <c r="S40" s="596"/>
      <c r="T40" s="596"/>
      <c r="U40" s="596"/>
      <c r="V40" s="596"/>
      <c r="W40" s="596"/>
      <c r="X40" s="596"/>
      <c r="Y40" s="596"/>
      <c r="Z40" s="596"/>
      <c r="AA40" s="596"/>
      <c r="AB40" s="596"/>
      <c r="AC40" s="596"/>
      <c r="AD40" s="441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441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</row>
    <row r="41" ht="42" customHeight="1">
      <c r="A41" s="596"/>
      <c r="B41" s="596"/>
      <c r="C41" s="596"/>
      <c r="D41" s="596"/>
      <c r="E41" s="596"/>
      <c r="F41" s="596"/>
      <c r="G41" s="596"/>
      <c r="H41" s="596"/>
      <c r="I41" s="596"/>
      <c r="J41" s="596"/>
      <c r="K41" s="596"/>
      <c r="L41" s="596"/>
      <c r="M41" s="596"/>
      <c r="N41" s="596"/>
      <c r="O41" s="596"/>
      <c r="P41" s="596"/>
      <c r="Q41" s="596"/>
      <c r="R41" s="596"/>
      <c r="S41" s="596"/>
      <c r="T41" s="596"/>
      <c r="U41" s="596"/>
      <c r="V41" s="596"/>
      <c r="W41" s="596"/>
      <c r="X41" s="596"/>
      <c r="Y41" s="596"/>
      <c r="Z41" s="596"/>
      <c r="AA41" s="596"/>
      <c r="AB41" s="596"/>
      <c r="AC41" s="596"/>
      <c r="AD41" s="441"/>
      <c r="AE41" s="616" t="s">
        <v>234</v>
      </c>
      <c r="AF41" s="616"/>
      <c r="AG41" s="616"/>
      <c r="AH41" s="616"/>
      <c r="AI41" s="616"/>
      <c r="AJ41" s="616"/>
      <c r="AK41" s="616"/>
      <c r="AL41" s="616"/>
      <c r="AM41" s="616"/>
      <c r="AN41" s="616"/>
      <c r="AO41" s="616"/>
      <c r="AP41" s="616"/>
      <c r="AQ41" s="616"/>
      <c r="AR41" s="441"/>
      <c r="AS41" s="610" t="s">
        <v>235</v>
      </c>
      <c r="AT41" s="610"/>
      <c r="AU41" s="468"/>
      <c r="AW41" s="467"/>
      <c r="BD41" s="371" t="s">
        <v>236</v>
      </c>
      <c r="BE41" s="371"/>
      <c r="BF41" s="468"/>
      <c r="BH41" s="467"/>
      <c r="BN41" s="249"/>
    </row>
    <row r="42" ht="42" customHeight="1">
      <c r="A42" s="596"/>
      <c r="B42" s="596"/>
      <c r="C42" s="596"/>
      <c r="D42" s="596"/>
      <c r="E42" s="596"/>
      <c r="F42" s="596"/>
      <c r="G42" s="596"/>
      <c r="H42" s="596"/>
      <c r="I42" s="596"/>
      <c r="J42" s="596"/>
      <c r="K42" s="596"/>
      <c r="L42" s="596"/>
      <c r="M42" s="596"/>
      <c r="N42" s="596"/>
      <c r="O42" s="596"/>
      <c r="P42" s="596"/>
      <c r="Q42" s="596"/>
      <c r="R42" s="596"/>
      <c r="S42" s="603" t="s">
        <v>237</v>
      </c>
      <c r="T42" s="604"/>
      <c r="U42" s="415"/>
      <c r="V42" s="415"/>
      <c r="W42" s="415"/>
      <c r="X42" s="415"/>
      <c r="Y42" s="415"/>
      <c r="Z42" s="415"/>
      <c r="AA42" s="415"/>
      <c r="AB42" s="415"/>
      <c r="AC42" s="415"/>
      <c r="AD42" s="441"/>
      <c r="AE42" s="616"/>
      <c r="AF42" s="616"/>
      <c r="AG42" s="616"/>
      <c r="AH42" s="616"/>
      <c r="AI42" s="616"/>
      <c r="AJ42" s="616"/>
      <c r="AK42" s="616"/>
      <c r="AL42" s="616"/>
      <c r="AM42" s="616"/>
      <c r="AN42" s="616"/>
      <c r="AO42" s="616"/>
      <c r="AP42" s="616"/>
      <c r="AQ42" s="616"/>
      <c r="AR42" s="441"/>
      <c r="AS42" s="396" t="s">
        <v>192</v>
      </c>
      <c r="AT42" s="397">
        <f>'بيرسا و لوفرز'!BM72</f>
        <v>132612.1335</v>
      </c>
      <c r="AU42" s="469"/>
      <c r="BD42" s="396" t="s">
        <v>192</v>
      </c>
      <c r="BE42" s="397">
        <f>'بيرسا و لوفرز'!BM146</f>
        <v>136015.7085</v>
      </c>
      <c r="BF42" s="469"/>
      <c r="BN42" s="249"/>
    </row>
    <row r="43" ht="42" customHeight="1">
      <c r="A43" s="573" t="s">
        <v>238</v>
      </c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96"/>
      <c r="S43" s="399" t="s">
        <v>192</v>
      </c>
      <c r="T43" s="363">
        <f>'شماسي و كانتليفر'!N51</f>
        <v>85906.6</v>
      </c>
      <c r="U43" s="415"/>
      <c r="V43" s="415"/>
      <c r="W43" s="415"/>
      <c r="X43" s="415"/>
      <c r="Y43" s="415"/>
      <c r="Z43" s="415"/>
      <c r="AA43" s="415"/>
      <c r="AB43" s="415"/>
      <c r="AC43" s="415"/>
      <c r="AD43" s="441"/>
      <c r="AE43" s="616"/>
      <c r="AF43" s="616"/>
      <c r="AG43" s="616"/>
      <c r="AH43" s="616"/>
      <c r="AI43" s="616"/>
      <c r="AJ43" s="616"/>
      <c r="AK43" s="616"/>
      <c r="AL43" s="616"/>
      <c r="AM43" s="616"/>
      <c r="AN43" s="616"/>
      <c r="AO43" s="616"/>
      <c r="AP43" s="616"/>
      <c r="AQ43" s="616"/>
      <c r="AR43" s="441"/>
      <c r="AS43" s="396" t="s">
        <v>162</v>
      </c>
      <c r="AT43" s="398">
        <f>AT42/(AT53*AT54/10000)</f>
        <v>8840.8089</v>
      </c>
      <c r="AU43" s="469"/>
      <c r="AV43" s="470"/>
      <c r="BD43" s="396" t="s">
        <v>162</v>
      </c>
      <c r="BE43" s="398">
        <f>BE42/(BE53*BE54/10000)</f>
        <v>9067.7139</v>
      </c>
      <c r="BF43" s="469"/>
      <c r="BG43" s="470"/>
      <c r="BN43" s="249"/>
    </row>
    <row r="44" ht="42" customHeight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96"/>
      <c r="S44" s="400" t="s">
        <v>162</v>
      </c>
      <c r="T44" s="363">
        <f>T43/T51</f>
        <v>1718.132</v>
      </c>
      <c r="U44" s="415"/>
      <c r="V44" s="415"/>
      <c r="W44" s="415"/>
      <c r="X44" s="415"/>
      <c r="Y44" s="605"/>
      <c r="Z44" s="605"/>
      <c r="AA44" s="415"/>
      <c r="AB44" s="415"/>
      <c r="AC44" s="415"/>
      <c r="AD44" s="441"/>
      <c r="AE44" s="616"/>
      <c r="AF44" s="616"/>
      <c r="AG44" s="616"/>
      <c r="AH44" s="616"/>
      <c r="AI44" s="616"/>
      <c r="AJ44" s="616"/>
      <c r="AK44" s="616"/>
      <c r="AL44" s="616"/>
      <c r="AM44" s="616"/>
      <c r="AN44" s="616"/>
      <c r="AO44" s="616"/>
      <c r="AP44" s="616"/>
      <c r="AQ44" s="616"/>
      <c r="AR44" s="441"/>
      <c r="AS44" s="335" t="s">
        <v>193</v>
      </c>
      <c r="AT44" s="374" t="s">
        <v>115</v>
      </c>
      <c r="BD44" s="335" t="s">
        <v>193</v>
      </c>
      <c r="BE44" s="374" t="s">
        <v>103</v>
      </c>
      <c r="BN44" s="249"/>
    </row>
    <row r="45" ht="42" customHeight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96"/>
      <c r="S45" s="401" t="s">
        <v>193</v>
      </c>
      <c r="T45" s="368" t="s">
        <v>55</v>
      </c>
      <c r="U45" s="415"/>
      <c r="V45" s="415"/>
      <c r="W45" s="415"/>
      <c r="X45" s="415"/>
      <c r="Y45" s="605"/>
      <c r="Z45" s="605"/>
      <c r="AA45" s="415"/>
      <c r="AB45" s="415"/>
      <c r="AC45" s="415"/>
      <c r="AD45" s="441"/>
      <c r="AE45" s="616"/>
      <c r="AF45" s="616"/>
      <c r="AG45" s="616"/>
      <c r="AH45" s="616"/>
      <c r="AI45" s="616"/>
      <c r="AJ45" s="616"/>
      <c r="AK45" s="616"/>
      <c r="AL45" s="616"/>
      <c r="AM45" s="616"/>
      <c r="AN45" s="616"/>
      <c r="AO45" s="616"/>
      <c r="AP45" s="616"/>
      <c r="AQ45" s="616"/>
      <c r="AR45" s="441"/>
      <c r="AS45" s="335" t="s">
        <v>194</v>
      </c>
      <c r="AT45" s="375" t="s">
        <v>195</v>
      </c>
      <c r="AZ45" s="480">
        <f>AT53</f>
        <v>250</v>
      </c>
      <c r="BD45" s="335" t="s">
        <v>194</v>
      </c>
      <c r="BE45" s="375" t="s">
        <v>195</v>
      </c>
      <c r="BN45" s="249"/>
    </row>
    <row r="46" ht="42" customHeight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96"/>
      <c r="S46" s="402" t="s">
        <v>194</v>
      </c>
      <c r="T46" s="350" t="s">
        <v>195</v>
      </c>
      <c r="U46" s="415"/>
      <c r="V46" s="415"/>
      <c r="W46" s="415"/>
      <c r="X46" s="415"/>
      <c r="Y46" s="605"/>
      <c r="Z46" s="605"/>
      <c r="AA46" s="415"/>
      <c r="AB46" s="415"/>
      <c r="AC46" s="415"/>
      <c r="AD46" s="441"/>
      <c r="AE46" s="616"/>
      <c r="AF46" s="616"/>
      <c r="AG46" s="616"/>
      <c r="AH46" s="616"/>
      <c r="AI46" s="616"/>
      <c r="AJ46" s="616"/>
      <c r="AK46" s="616"/>
      <c r="AL46" s="616"/>
      <c r="AM46" s="616"/>
      <c r="AN46" s="616"/>
      <c r="AO46" s="616"/>
      <c r="AP46" s="616"/>
      <c r="AQ46" s="616"/>
      <c r="AR46" s="441"/>
      <c r="AS46" s="336" t="s">
        <v>196</v>
      </c>
      <c r="AT46" s="376" t="s">
        <v>205</v>
      </c>
      <c r="AX46" s="480">
        <f>AT54</f>
        <v>600</v>
      </c>
      <c r="BD46" s="336" t="s">
        <v>196</v>
      </c>
      <c r="BE46" s="376" t="s">
        <v>205</v>
      </c>
      <c r="BI46" s="480">
        <f>BE54</f>
        <v>600</v>
      </c>
      <c r="BM46" s="480">
        <f>BE53</f>
        <v>250</v>
      </c>
      <c r="BN46" s="249"/>
    </row>
    <row r="47" ht="42" customHeight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96"/>
      <c r="S47" s="401" t="s">
        <v>239</v>
      </c>
      <c r="T47" s="349">
        <f>ROUNDUP(T54/500,0)</f>
        <v>1</v>
      </c>
      <c r="U47" s="415"/>
      <c r="V47" s="415"/>
      <c r="W47" s="415"/>
      <c r="X47" s="415"/>
      <c r="Y47" s="415"/>
      <c r="Z47" s="415"/>
      <c r="AA47" s="415"/>
      <c r="AB47" s="415"/>
      <c r="AC47" s="415"/>
      <c r="AD47" s="441"/>
      <c r="AE47" s="616"/>
      <c r="AF47" s="616"/>
      <c r="AG47" s="616"/>
      <c r="AH47" s="616"/>
      <c r="AI47" s="616"/>
      <c r="AJ47" s="616"/>
      <c r="AK47" s="616"/>
      <c r="AL47" s="616"/>
      <c r="AM47" s="616"/>
      <c r="AN47" s="616"/>
      <c r="AO47" s="616"/>
      <c r="AP47" s="616"/>
      <c r="AQ47" s="616"/>
      <c r="AR47" s="441"/>
      <c r="AS47" s="337"/>
      <c r="AT47" s="338"/>
      <c r="AU47" s="465"/>
      <c r="AV47" s="465"/>
      <c r="AW47" s="465"/>
      <c r="AX47" s="466"/>
      <c r="AY47" s="466"/>
      <c r="BD47" s="337"/>
      <c r="BE47" s="338"/>
      <c r="BF47" s="465"/>
      <c r="BG47" s="465"/>
      <c r="BH47" s="465"/>
      <c r="BI47" s="466"/>
      <c r="BJ47" s="466"/>
      <c r="BN47" s="249"/>
    </row>
    <row r="48" ht="42" customHeight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96"/>
      <c r="S48" s="364"/>
      <c r="T48" s="351"/>
      <c r="U48" s="415"/>
      <c r="V48" s="415"/>
      <c r="W48" s="415"/>
      <c r="X48" s="415"/>
      <c r="Y48" s="415"/>
      <c r="Z48" s="415"/>
      <c r="AA48" s="415"/>
      <c r="AB48" s="415"/>
      <c r="AC48" s="415"/>
      <c r="AD48" s="441"/>
      <c r="AE48" s="616"/>
      <c r="AF48" s="616"/>
      <c r="AG48" s="616"/>
      <c r="AH48" s="616"/>
      <c r="AI48" s="616"/>
      <c r="AJ48" s="616"/>
      <c r="AK48" s="616"/>
      <c r="AL48" s="616"/>
      <c r="AM48" s="616"/>
      <c r="AN48" s="616"/>
      <c r="AO48" s="616"/>
      <c r="AP48" s="616"/>
      <c r="AQ48" s="616"/>
      <c r="AR48" s="441"/>
      <c r="AS48" s="334"/>
      <c r="AT48" s="334"/>
      <c r="BD48" s="334"/>
      <c r="BE48" s="334"/>
      <c r="BN48" s="249"/>
    </row>
    <row r="49" ht="42" customHeight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96"/>
      <c r="S49" s="364"/>
      <c r="T49" s="364"/>
      <c r="U49" s="415"/>
      <c r="V49" s="415"/>
      <c r="W49" s="415"/>
      <c r="X49" s="415"/>
      <c r="Y49" s="415"/>
      <c r="Z49" s="415"/>
      <c r="AA49" s="415"/>
      <c r="AB49" s="415"/>
      <c r="AC49" s="415"/>
      <c r="AD49" s="441"/>
      <c r="AE49" s="616"/>
      <c r="AF49" s="616"/>
      <c r="AG49" s="616"/>
      <c r="AH49" s="616"/>
      <c r="AI49" s="616"/>
      <c r="AJ49" s="616"/>
      <c r="AK49" s="616"/>
      <c r="AL49" s="616"/>
      <c r="AM49" s="616"/>
      <c r="AN49" s="616"/>
      <c r="AO49" s="616"/>
      <c r="AP49" s="616"/>
      <c r="AQ49" s="616"/>
      <c r="AR49" s="441"/>
      <c r="AS49" s="341" t="s">
        <v>211</v>
      </c>
      <c r="AT49" s="471" t="s">
        <v>240</v>
      </c>
      <c r="BD49" s="341" t="s">
        <v>211</v>
      </c>
      <c r="BE49" s="471" t="s">
        <v>240</v>
      </c>
      <c r="BN49" s="249"/>
    </row>
    <row r="50" ht="42" customHeight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96"/>
      <c r="S50" s="364"/>
      <c r="T50" s="351"/>
      <c r="U50" s="415"/>
      <c r="V50" s="415"/>
      <c r="W50" s="415"/>
      <c r="X50" s="415"/>
      <c r="Y50" s="415"/>
      <c r="Z50" s="415"/>
      <c r="AA50" s="415"/>
      <c r="AB50" s="415"/>
      <c r="AC50" s="415"/>
      <c r="AD50" s="441"/>
      <c r="AE50" s="616"/>
      <c r="AF50" s="616"/>
      <c r="AG50" s="616"/>
      <c r="AH50" s="616"/>
      <c r="AI50" s="616"/>
      <c r="AJ50" s="616"/>
      <c r="AK50" s="616"/>
      <c r="AL50" s="616"/>
      <c r="AM50" s="616"/>
      <c r="AN50" s="616"/>
      <c r="AO50" s="616"/>
      <c r="AP50" s="616"/>
      <c r="AQ50" s="616"/>
      <c r="AR50" s="441"/>
      <c r="AS50" s="341" t="s">
        <v>213</v>
      </c>
      <c r="AT50" s="471" t="s">
        <v>214</v>
      </c>
      <c r="AV50" s="472"/>
      <c r="AW50" s="467"/>
      <c r="AX50" s="467"/>
      <c r="AY50" s="467"/>
      <c r="AZ50" s="467"/>
      <c r="BD50" s="341" t="s">
        <v>213</v>
      </c>
      <c r="BE50" s="471" t="s">
        <v>214</v>
      </c>
      <c r="BG50" s="472"/>
      <c r="BH50" s="467"/>
      <c r="BI50" s="467"/>
      <c r="BJ50" s="467"/>
      <c r="BK50" s="467"/>
      <c r="BN50" s="249"/>
    </row>
    <row r="51" ht="42" customHeight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96"/>
      <c r="S51" s="401" t="s">
        <v>241</v>
      </c>
      <c r="T51" s="353">
        <f>IF((T52="double"),(T54*T55/5000),(T54*T55/10000))</f>
        <v>50</v>
      </c>
      <c r="U51" s="415"/>
      <c r="V51" s="415"/>
      <c r="W51" s="415"/>
      <c r="X51" s="415"/>
      <c r="Y51" s="415"/>
      <c r="Z51" s="415"/>
      <c r="AA51" s="415"/>
      <c r="AB51" s="415"/>
      <c r="AC51" s="415"/>
      <c r="AD51" s="441"/>
      <c r="AE51" s="616"/>
      <c r="AF51" s="616"/>
      <c r="AG51" s="616"/>
      <c r="AH51" s="616"/>
      <c r="AI51" s="616"/>
      <c r="AJ51" s="616"/>
      <c r="AK51" s="616"/>
      <c r="AL51" s="616"/>
      <c r="AM51" s="616"/>
      <c r="AN51" s="616"/>
      <c r="AO51" s="616"/>
      <c r="AP51" s="616"/>
      <c r="AQ51" s="616"/>
      <c r="AR51" s="441"/>
      <c r="AS51" s="377"/>
      <c r="AT51" s="343"/>
      <c r="AV51" s="467"/>
      <c r="AW51" s="467"/>
      <c r="AX51" s="467"/>
      <c r="AY51" s="467"/>
      <c r="AZ51" s="467"/>
      <c r="BA51" s="467"/>
      <c r="BD51" s="377"/>
      <c r="BE51" s="343"/>
      <c r="BG51" s="467"/>
      <c r="BH51" s="467"/>
      <c r="BI51" s="467"/>
      <c r="BJ51" s="467"/>
      <c r="BK51" s="467"/>
      <c r="BL51" s="467"/>
      <c r="BN51" s="249"/>
    </row>
    <row r="52" ht="42" customHeight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96"/>
      <c r="S52" s="401" t="s">
        <v>242</v>
      </c>
      <c r="T52" s="447" t="s">
        <v>229</v>
      </c>
      <c r="U52" s="415"/>
      <c r="V52" s="415"/>
      <c r="W52" s="415"/>
      <c r="X52" s="415"/>
      <c r="Y52" s="415"/>
      <c r="Z52" s="415"/>
      <c r="AA52" s="415"/>
      <c r="AB52" s="415"/>
      <c r="AC52" s="415"/>
      <c r="AD52" s="441"/>
      <c r="AE52" s="616"/>
      <c r="AF52" s="616"/>
      <c r="AG52" s="616"/>
      <c r="AH52" s="616"/>
      <c r="AI52" s="616"/>
      <c r="AJ52" s="616"/>
      <c r="AK52" s="616"/>
      <c r="AL52" s="616"/>
      <c r="AM52" s="616"/>
      <c r="AN52" s="616"/>
      <c r="AO52" s="616"/>
      <c r="AP52" s="616"/>
      <c r="AQ52" s="616"/>
      <c r="AR52" s="441"/>
      <c r="AS52" s="339" t="s">
        <v>216</v>
      </c>
      <c r="AT52" s="333" t="s">
        <v>220</v>
      </c>
      <c r="BA52" s="472"/>
      <c r="BD52" s="339" t="s">
        <v>216</v>
      </c>
      <c r="BE52" s="333" t="s">
        <v>220</v>
      </c>
      <c r="BL52" s="472"/>
      <c r="BN52" s="249"/>
    </row>
    <row r="53" ht="42" customHeight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96"/>
      <c r="S53" s="401" t="s">
        <v>216</v>
      </c>
      <c r="T53" s="353" t="s">
        <v>221</v>
      </c>
      <c r="U53" s="415"/>
      <c r="V53" s="415"/>
      <c r="W53" s="415"/>
      <c r="X53" s="415"/>
      <c r="Y53" s="415"/>
      <c r="Z53" s="415"/>
      <c r="AA53" s="415"/>
      <c r="AB53" s="415"/>
      <c r="AC53" s="415"/>
      <c r="AD53" s="441"/>
      <c r="AE53" s="616"/>
      <c r="AF53" s="616"/>
      <c r="AG53" s="616"/>
      <c r="AH53" s="616"/>
      <c r="AI53" s="616"/>
      <c r="AJ53" s="616"/>
      <c r="AK53" s="616"/>
      <c r="AL53" s="616"/>
      <c r="AM53" s="616"/>
      <c r="AN53" s="616"/>
      <c r="AO53" s="616"/>
      <c r="AP53" s="616"/>
      <c r="AQ53" s="616"/>
      <c r="AR53" s="441"/>
      <c r="AS53" s="339" t="s">
        <v>217</v>
      </c>
      <c r="AT53" s="339">
        <v>250</v>
      </c>
      <c r="BA53" s="0" t="s">
        <v>218</v>
      </c>
      <c r="BD53" s="339" t="s">
        <v>217</v>
      </c>
      <c r="BE53" s="339">
        <v>250</v>
      </c>
      <c r="BL53" s="0" t="s">
        <v>218</v>
      </c>
      <c r="BN53" s="249"/>
    </row>
    <row r="54" ht="42" customHeight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96"/>
      <c r="S54" s="401" t="s">
        <v>217</v>
      </c>
      <c r="T54" s="354">
        <v>500</v>
      </c>
      <c r="U54" s="415"/>
      <c r="V54" s="415"/>
      <c r="W54" s="415"/>
      <c r="X54" s="415"/>
      <c r="Y54" s="415"/>
      <c r="Z54" s="415"/>
      <c r="AA54" s="415"/>
      <c r="AB54" s="448">
        <f>T55</f>
        <v>500</v>
      </c>
      <c r="AC54" s="415"/>
      <c r="AD54" s="441"/>
      <c r="AE54" s="616"/>
      <c r="AF54" s="616"/>
      <c r="AG54" s="616"/>
      <c r="AH54" s="616"/>
      <c r="AI54" s="616"/>
      <c r="AJ54" s="616"/>
      <c r="AK54" s="616"/>
      <c r="AL54" s="616"/>
      <c r="AM54" s="616"/>
      <c r="AN54" s="616"/>
      <c r="AO54" s="616"/>
      <c r="AP54" s="616"/>
      <c r="AQ54" s="616"/>
      <c r="AR54" s="441"/>
      <c r="AS54" s="339" t="s">
        <v>219</v>
      </c>
      <c r="AT54" s="339">
        <v>600</v>
      </c>
      <c r="AU54" s="473"/>
      <c r="AZ54" s="571"/>
      <c r="BA54" s="571"/>
      <c r="BB54" s="571"/>
      <c r="BD54" s="339" t="s">
        <v>219</v>
      </c>
      <c r="BE54" s="339">
        <v>600</v>
      </c>
      <c r="BF54" s="473"/>
      <c r="BK54" s="571"/>
      <c r="BL54" s="571"/>
      <c r="BM54" s="571"/>
      <c r="BN54" s="249"/>
    </row>
    <row r="55" ht="42" customHeight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96"/>
      <c r="S55" s="401" t="s">
        <v>219</v>
      </c>
      <c r="T55" s="354">
        <v>500</v>
      </c>
      <c r="U55" s="415"/>
      <c r="V55" s="415"/>
      <c r="W55" s="415"/>
      <c r="X55" s="415"/>
      <c r="Y55" s="415"/>
      <c r="Z55" s="415"/>
      <c r="AA55" s="415"/>
      <c r="AC55" s="415"/>
      <c r="AD55" s="441"/>
      <c r="AE55" s="616"/>
      <c r="AF55" s="616"/>
      <c r="AG55" s="616"/>
      <c r="AH55" s="616"/>
      <c r="AI55" s="616"/>
      <c r="AJ55" s="616"/>
      <c r="AK55" s="616"/>
      <c r="AL55" s="616"/>
      <c r="AM55" s="616"/>
      <c r="AN55" s="616"/>
      <c r="AO55" s="616"/>
      <c r="AP55" s="616"/>
      <c r="AQ55" s="616"/>
      <c r="AR55" s="441"/>
      <c r="AS55" s="249"/>
      <c r="AT55" s="249"/>
      <c r="BD55" s="249"/>
      <c r="BE55" s="249"/>
      <c r="BN55" s="249"/>
    </row>
    <row r="56" ht="42" customHeight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96"/>
      <c r="S56" s="415"/>
      <c r="T56" s="415"/>
      <c r="U56" s="415"/>
      <c r="V56" s="415"/>
      <c r="W56" s="415"/>
      <c r="X56" s="415"/>
      <c r="Y56" s="415"/>
      <c r="Z56" s="415"/>
      <c r="AA56" s="415"/>
      <c r="AB56" s="415"/>
      <c r="AC56" s="415"/>
      <c r="AD56" s="441"/>
      <c r="AE56" s="616"/>
      <c r="AF56" s="616"/>
      <c r="AG56" s="616"/>
      <c r="AH56" s="616"/>
      <c r="AI56" s="616"/>
      <c r="AJ56" s="616"/>
      <c r="AK56" s="616"/>
      <c r="AL56" s="616"/>
      <c r="AM56" s="616"/>
      <c r="AN56" s="616"/>
      <c r="AO56" s="616"/>
      <c r="AP56" s="616"/>
      <c r="AQ56" s="616"/>
      <c r="AR56" s="441"/>
      <c r="AS56" s="249"/>
      <c r="AT56" s="249"/>
      <c r="BD56" s="249"/>
      <c r="BE56" s="249"/>
      <c r="BN56" s="249"/>
    </row>
    <row r="57" ht="42" customHeight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96"/>
      <c r="S57" s="415"/>
      <c r="T57" s="415"/>
      <c r="U57" s="415"/>
      <c r="V57" s="415"/>
      <c r="W57" s="415"/>
      <c r="X57" s="415"/>
      <c r="Y57" s="415"/>
      <c r="Z57" s="415"/>
      <c r="AA57" s="415"/>
      <c r="AC57" s="415"/>
      <c r="AD57" s="441"/>
      <c r="AE57" s="616"/>
      <c r="AF57" s="616"/>
      <c r="AG57" s="616"/>
      <c r="AH57" s="616"/>
      <c r="AI57" s="616"/>
      <c r="AJ57" s="616"/>
      <c r="AK57" s="616"/>
      <c r="AL57" s="616"/>
      <c r="AM57" s="616"/>
      <c r="AN57" s="616"/>
      <c r="AO57" s="616"/>
      <c r="AP57" s="616"/>
      <c r="AQ57" s="616"/>
      <c r="AR57" s="441"/>
      <c r="AS57" s="613">
        <f>('بيرسا و لوفرز'!BA14+'بيرسا و لوفرز'!BP66+'بيرسا و لوفرز'!BQ58)*1.35</f>
        <v>85591.485</v>
      </c>
      <c r="AT57" s="614"/>
      <c r="BD57" s="613">
        <f>('بيرسا و لوفرز'!BA97+'بيرسا و لوفرز'!BP140+'بيرسا و لوفرز'!BQ132)*1.35</f>
        <v>84646.485</v>
      </c>
      <c r="BE57" s="614"/>
      <c r="BN57" s="249"/>
    </row>
    <row r="58" ht="42" customHeight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96"/>
      <c r="S58" s="415"/>
      <c r="T58" s="415"/>
      <c r="U58" s="415"/>
      <c r="V58" s="415"/>
      <c r="X58" s="448">
        <f>T54</f>
        <v>500</v>
      </c>
      <c r="Y58" s="415"/>
      <c r="Z58" s="415"/>
      <c r="AA58" s="415"/>
      <c r="AB58" s="415"/>
      <c r="AC58" s="415"/>
      <c r="AD58" s="441"/>
      <c r="AE58" s="616"/>
      <c r="AF58" s="616"/>
      <c r="AG58" s="616"/>
      <c r="AH58" s="616"/>
      <c r="AI58" s="616"/>
      <c r="AJ58" s="616"/>
      <c r="AK58" s="616"/>
      <c r="AL58" s="616"/>
      <c r="AM58" s="616"/>
      <c r="AN58" s="616"/>
      <c r="AO58" s="616"/>
      <c r="AP58" s="616"/>
      <c r="AQ58" s="616"/>
      <c r="AR58" s="441"/>
      <c r="AS58" s="606">
        <f>AS57/(AT53*AT54/10000)</f>
        <v>5706.099</v>
      </c>
      <c r="AT58" s="607"/>
      <c r="BD58" s="606">
        <f>BD57/(BE53*BE54/10000)</f>
        <v>5643.099</v>
      </c>
      <c r="BE58" s="607"/>
      <c r="BN58" s="249"/>
    </row>
    <row r="59" ht="39" customHeight="1">
      <c r="A59" s="573"/>
      <c r="B59" s="573"/>
      <c r="C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96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441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441"/>
      <c r="AS59" s="249"/>
      <c r="AT59" s="249"/>
      <c r="AU59" s="249"/>
      <c r="AV59" s="249"/>
      <c r="AW59" s="249"/>
      <c r="AX59" s="249"/>
      <c r="AY59" s="249"/>
      <c r="AZ59" s="249"/>
      <c r="BA59" s="249"/>
      <c r="BB59" s="249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</row>
    <row r="60" ht="42" customHeight="1">
      <c r="A60" s="573" t="s">
        <v>243</v>
      </c>
      <c r="B60" s="573"/>
      <c r="C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96"/>
      <c r="S60" s="603" t="s">
        <v>237</v>
      </c>
      <c r="T60" s="604"/>
      <c r="U60" s="415"/>
      <c r="V60" s="415"/>
      <c r="W60" s="415"/>
      <c r="X60" s="415"/>
      <c r="Y60" s="415"/>
      <c r="Z60" s="415"/>
      <c r="AA60" s="415"/>
      <c r="AB60" s="415"/>
      <c r="AC60" s="415"/>
      <c r="AD60" s="441"/>
      <c r="AR60" s="441"/>
      <c r="BN60" s="249"/>
    </row>
    <row r="61" ht="40.5" customHeight="1">
      <c r="A61" s="573"/>
      <c r="B61" s="573"/>
      <c r="C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96"/>
      <c r="S61" s="399" t="s">
        <v>192</v>
      </c>
      <c r="T61" s="363">
        <f>'شماسي و كانتليفر'!N84</f>
        <v>102104.6</v>
      </c>
      <c r="U61" s="415"/>
      <c r="V61" s="415"/>
      <c r="W61" s="415"/>
      <c r="X61" s="415"/>
      <c r="Y61" s="415"/>
      <c r="Z61" s="415"/>
      <c r="AA61" s="415"/>
      <c r="AB61" s="415"/>
      <c r="AC61" s="415"/>
      <c r="AD61" s="441"/>
      <c r="AR61" s="441"/>
      <c r="BN61" s="249"/>
    </row>
    <row r="62" ht="40.5" customHeight="1">
      <c r="A62" s="573"/>
      <c r="B62" s="573"/>
      <c r="C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96"/>
      <c r="S62" s="400" t="s">
        <v>162</v>
      </c>
      <c r="T62" s="363">
        <f>T61/T69</f>
        <v>2042.092</v>
      </c>
      <c r="U62" s="415"/>
      <c r="V62" s="415"/>
      <c r="W62" s="415"/>
      <c r="X62" s="415"/>
      <c r="Y62" s="605"/>
      <c r="Z62" s="605"/>
      <c r="AA62" s="415"/>
      <c r="AB62" s="415"/>
      <c r="AC62" s="415"/>
      <c r="AD62" s="441"/>
      <c r="AR62" s="441"/>
      <c r="BN62" s="249"/>
    </row>
    <row r="63" ht="40.5" customHeight="1">
      <c r="A63" s="573"/>
      <c r="B63" s="573"/>
      <c r="C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96"/>
      <c r="S63" s="401" t="s">
        <v>193</v>
      </c>
      <c r="T63" s="368" t="s">
        <v>55</v>
      </c>
      <c r="U63" s="415"/>
      <c r="V63" s="415"/>
      <c r="W63" s="415"/>
      <c r="X63" s="415"/>
      <c r="Y63" s="605"/>
      <c r="Z63" s="605"/>
      <c r="AA63" s="415"/>
      <c r="AB63" s="415"/>
      <c r="AC63" s="415"/>
      <c r="AD63" s="441"/>
      <c r="AR63" s="441"/>
      <c r="BN63" s="249"/>
    </row>
    <row r="64" ht="40.5" customHeight="1">
      <c r="A64" s="573"/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96"/>
      <c r="S64" s="402" t="s">
        <v>194</v>
      </c>
      <c r="T64" s="350" t="s">
        <v>195</v>
      </c>
      <c r="U64" s="415"/>
      <c r="V64" s="415"/>
      <c r="W64" s="415"/>
      <c r="X64" s="415"/>
      <c r="Y64" s="605"/>
      <c r="Z64" s="605"/>
      <c r="AA64" s="415"/>
      <c r="AB64" s="415"/>
      <c r="AC64" s="415"/>
      <c r="AD64" s="441"/>
      <c r="AR64" s="441"/>
      <c r="BN64" s="249"/>
    </row>
    <row r="65" ht="40.5" customHeight="1">
      <c r="A65" s="573"/>
      <c r="B65" s="573"/>
      <c r="C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96"/>
      <c r="S65" s="401" t="s">
        <v>239</v>
      </c>
      <c r="T65" s="349">
        <f>ROUNDUP(T72/500,0)</f>
        <v>1</v>
      </c>
      <c r="U65" s="415"/>
      <c r="V65" s="415"/>
      <c r="W65" s="415"/>
      <c r="X65" s="415"/>
      <c r="Y65" s="415"/>
      <c r="Z65" s="415"/>
      <c r="AA65" s="415"/>
      <c r="AB65" s="415"/>
      <c r="AC65" s="415"/>
      <c r="AD65" s="441"/>
      <c r="AR65" s="441"/>
      <c r="BN65" s="249"/>
    </row>
    <row r="66" ht="40.5" customHeight="1">
      <c r="A66" s="573"/>
      <c r="B66" s="573"/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96"/>
      <c r="S66" s="364"/>
      <c r="T66" s="351"/>
      <c r="U66" s="415"/>
      <c r="V66" s="415"/>
      <c r="W66" s="415"/>
      <c r="X66" s="415"/>
      <c r="Y66" s="415"/>
      <c r="Z66" s="415"/>
      <c r="AA66" s="415"/>
      <c r="AB66" s="415"/>
      <c r="AC66" s="415"/>
      <c r="AD66" s="441"/>
      <c r="AR66" s="441"/>
      <c r="BN66" s="249"/>
    </row>
    <row r="67" ht="40.5" customHeight="1">
      <c r="A67" s="573"/>
      <c r="B67" s="573"/>
      <c r="C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96"/>
      <c r="S67" s="364"/>
      <c r="T67" s="364"/>
      <c r="U67" s="415"/>
      <c r="V67" s="415"/>
      <c r="W67" s="415"/>
      <c r="X67" s="415"/>
      <c r="Y67" s="415"/>
      <c r="Z67" s="415"/>
      <c r="AA67" s="415"/>
      <c r="AB67" s="415"/>
      <c r="AC67" s="415"/>
      <c r="AD67" s="441"/>
      <c r="AR67" s="441"/>
      <c r="BN67" s="249"/>
    </row>
    <row r="68" ht="40.5" customHeight="1">
      <c r="A68" s="573"/>
      <c r="B68" s="573"/>
      <c r="C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96"/>
      <c r="S68" s="364"/>
      <c r="T68" s="351"/>
      <c r="U68" s="415"/>
      <c r="V68" s="415"/>
      <c r="W68" s="415"/>
      <c r="X68" s="415"/>
      <c r="Y68" s="415"/>
      <c r="Z68" s="415"/>
      <c r="AA68" s="415"/>
      <c r="AB68" s="415"/>
      <c r="AC68" s="415"/>
      <c r="AD68" s="441"/>
      <c r="AR68" s="441"/>
      <c r="BN68" s="249"/>
    </row>
    <row r="69" ht="40.5" customHeight="1">
      <c r="A69" s="573"/>
      <c r="B69" s="573"/>
      <c r="C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96"/>
      <c r="S69" s="401" t="s">
        <v>241</v>
      </c>
      <c r="T69" s="353">
        <f>IF((T70="double"),(T72*T73/5000),(T72*T73/10000))</f>
        <v>50</v>
      </c>
      <c r="U69" s="415"/>
      <c r="V69" s="415"/>
      <c r="W69" s="415"/>
      <c r="X69" s="415"/>
      <c r="Y69" s="415"/>
      <c r="Z69" s="415"/>
      <c r="AB69" s="415"/>
      <c r="AC69" s="415"/>
      <c r="AD69" s="441"/>
      <c r="AR69" s="441"/>
      <c r="BN69" s="249"/>
    </row>
    <row r="70" ht="40.5" customHeight="1">
      <c r="A70" s="573"/>
      <c r="B70" s="573"/>
      <c r="C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96"/>
      <c r="S70" s="401" t="s">
        <v>242</v>
      </c>
      <c r="T70" s="447" t="s">
        <v>229</v>
      </c>
      <c r="U70" s="415"/>
      <c r="V70" s="415"/>
      <c r="W70" s="415"/>
      <c r="X70" s="415"/>
      <c r="Y70" s="415"/>
      <c r="Z70" s="415"/>
      <c r="AA70" s="415"/>
      <c r="AB70" s="415"/>
      <c r="AC70" s="415"/>
      <c r="AD70" s="441"/>
      <c r="AR70" s="441"/>
      <c r="BN70" s="249"/>
    </row>
    <row r="71" ht="40.5" customHeight="1">
      <c r="A71" s="573"/>
      <c r="B71" s="573"/>
      <c r="C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96"/>
      <c r="S71" s="401" t="s">
        <v>216</v>
      </c>
      <c r="T71" s="353" t="s">
        <v>221</v>
      </c>
      <c r="U71" s="415"/>
      <c r="V71" s="415"/>
      <c r="W71" s="415"/>
      <c r="X71" s="415"/>
      <c r="Y71" s="415"/>
      <c r="Z71" s="415"/>
      <c r="AA71" s="415"/>
      <c r="AB71" s="448">
        <f>T73</f>
        <v>500</v>
      </c>
      <c r="AC71" s="415"/>
      <c r="AD71" s="441"/>
      <c r="AR71" s="441"/>
      <c r="BN71" s="249"/>
    </row>
    <row r="72" ht="40.5" customHeight="1">
      <c r="A72" s="573"/>
      <c r="B72" s="573"/>
      <c r="C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96"/>
      <c r="S72" s="401" t="s">
        <v>217</v>
      </c>
      <c r="T72" s="354">
        <v>500</v>
      </c>
      <c r="U72" s="415"/>
      <c r="V72" s="415"/>
      <c r="W72" s="415"/>
      <c r="X72" s="415"/>
      <c r="Y72" s="415"/>
      <c r="Z72" s="415"/>
      <c r="AA72" s="415"/>
      <c r="AC72" s="415"/>
      <c r="AD72" s="441"/>
      <c r="AR72" s="441"/>
      <c r="BN72" s="249"/>
    </row>
    <row r="73" ht="40.5" customHeight="1">
      <c r="A73" s="573"/>
      <c r="B73" s="573"/>
      <c r="C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96"/>
      <c r="S73" s="401" t="s">
        <v>219</v>
      </c>
      <c r="T73" s="354">
        <v>500</v>
      </c>
      <c r="U73" s="415"/>
      <c r="V73" s="415"/>
      <c r="X73" s="415"/>
      <c r="Y73" s="415"/>
      <c r="Z73" s="415"/>
      <c r="AA73" s="415"/>
      <c r="AC73" s="415"/>
      <c r="AD73" s="441"/>
      <c r="AR73" s="441"/>
      <c r="BN73" s="249"/>
    </row>
    <row r="74" ht="39.75" customHeight="1">
      <c r="A74" s="573"/>
      <c r="B74" s="573"/>
      <c r="C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96"/>
      <c r="S74" s="415"/>
      <c r="T74" s="415"/>
      <c r="U74" s="415"/>
      <c r="V74" s="415"/>
      <c r="W74" s="415"/>
      <c r="X74" s="415"/>
      <c r="Y74" s="415"/>
      <c r="Z74" s="415"/>
      <c r="AA74" s="415"/>
      <c r="AB74" s="415"/>
      <c r="AC74" s="415"/>
      <c r="AD74" s="441"/>
      <c r="AR74" s="441"/>
      <c r="BN74" s="249"/>
    </row>
    <row r="75" ht="39.75" customHeight="1">
      <c r="A75" s="573"/>
      <c r="B75" s="573"/>
      <c r="C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96"/>
      <c r="S75" s="415"/>
      <c r="T75" s="415"/>
      <c r="U75" s="415"/>
      <c r="V75" s="415"/>
      <c r="W75" s="448">
        <f>T72</f>
        <v>500</v>
      </c>
      <c r="X75" s="415"/>
      <c r="Y75" s="415"/>
      <c r="Z75" s="415"/>
      <c r="AA75" s="415"/>
      <c r="AC75" s="415"/>
      <c r="AD75" s="441"/>
      <c r="AR75" s="441"/>
      <c r="BN75" s="249"/>
    </row>
    <row r="76" ht="39.75" customHeight="1">
      <c r="A76" s="573"/>
      <c r="B76" s="573"/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96"/>
      <c r="S76" s="415"/>
      <c r="T76" s="415"/>
      <c r="U76" s="415"/>
      <c r="V76" s="415"/>
      <c r="Y76" s="415"/>
      <c r="Z76" s="415"/>
      <c r="AA76" s="415"/>
      <c r="AB76" s="415"/>
      <c r="AC76" s="415"/>
      <c r="AD76" s="441"/>
      <c r="AR76" s="441"/>
      <c r="BN76" s="249"/>
    </row>
    <row r="77" ht="15" customHeight="1">
      <c r="A77" s="553"/>
      <c r="B77" s="553"/>
      <c r="C77" s="553"/>
      <c r="D77" s="553"/>
      <c r="E77" s="553"/>
      <c r="F77" s="553"/>
      <c r="G77" s="553"/>
      <c r="H77" s="553"/>
      <c r="I77" s="553"/>
      <c r="J77" s="553"/>
      <c r="K77" s="553"/>
      <c r="L77" s="553"/>
      <c r="M77" s="553"/>
      <c r="N77" s="553"/>
      <c r="O77" s="553"/>
      <c r="P77" s="553"/>
      <c r="Q77" s="553"/>
      <c r="R77" s="596"/>
      <c r="AD77" s="441"/>
      <c r="AR77" s="441"/>
      <c r="BN77" s="249"/>
    </row>
    <row r="78" ht="15" customHeight="1">
      <c r="A78" s="615" t="s">
        <v>244</v>
      </c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  <c r="P78" s="615"/>
      <c r="Q78" s="615"/>
      <c r="R78" s="596"/>
      <c r="S78" s="462"/>
      <c r="T78" s="462"/>
      <c r="U78" s="462"/>
      <c r="V78" s="462"/>
      <c r="W78" s="462"/>
      <c r="X78" s="462"/>
      <c r="Y78" s="462"/>
      <c r="Z78" s="462"/>
      <c r="AA78" s="462"/>
      <c r="AB78" s="462"/>
      <c r="AC78" s="462"/>
      <c r="AD78" s="441"/>
      <c r="AR78" s="441"/>
      <c r="BN78" s="249"/>
    </row>
    <row r="79" ht="38.25" customHeight="1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15"/>
      <c r="M79" s="615"/>
      <c r="N79" s="615"/>
      <c r="O79" s="615"/>
      <c r="P79" s="615"/>
      <c r="Q79" s="615"/>
      <c r="R79" s="596"/>
      <c r="AC79" s="441"/>
      <c r="AQ79" s="441"/>
      <c r="BB79" s="441"/>
      <c r="BM79" s="249"/>
    </row>
    <row r="80" ht="38.25" customHeight="1">
      <c r="A80" s="615"/>
      <c r="B80" s="615"/>
      <c r="C80" s="615"/>
      <c r="D80" s="615"/>
      <c r="E80" s="615"/>
      <c r="F80" s="615"/>
      <c r="G80" s="615"/>
      <c r="H80" s="615"/>
      <c r="I80" s="615"/>
      <c r="J80" s="615"/>
      <c r="K80" s="615"/>
      <c r="L80" s="615"/>
      <c r="M80" s="615"/>
      <c r="N80" s="615"/>
      <c r="O80" s="615"/>
      <c r="P80" s="615"/>
      <c r="Q80" s="615"/>
      <c r="R80" s="596"/>
      <c r="AQ80" s="441"/>
      <c r="BB80" s="441"/>
      <c r="BM80" s="249"/>
    </row>
    <row r="81" ht="38.25" customHeight="1">
      <c r="A81" s="615"/>
      <c r="B81" s="615"/>
      <c r="C81" s="615"/>
      <c r="D81" s="615"/>
      <c r="E81" s="615"/>
      <c r="F81" s="615"/>
      <c r="G81" s="615"/>
      <c r="H81" s="615"/>
      <c r="I81" s="615"/>
      <c r="J81" s="615"/>
      <c r="K81" s="615"/>
      <c r="L81" s="615"/>
      <c r="M81" s="615"/>
      <c r="N81" s="615"/>
      <c r="O81" s="615"/>
      <c r="P81" s="615"/>
      <c r="Q81" s="615"/>
      <c r="R81" s="596"/>
      <c r="AQ81" s="441"/>
      <c r="BB81" s="441"/>
      <c r="BM81" s="249"/>
    </row>
    <row r="82" ht="38.25" customHeight="1">
      <c r="A82" s="615"/>
      <c r="B82" s="615"/>
      <c r="C82" s="615"/>
      <c r="D82" s="615"/>
      <c r="E82" s="615"/>
      <c r="F82" s="615"/>
      <c r="G82" s="615"/>
      <c r="H82" s="615"/>
      <c r="I82" s="615"/>
      <c r="J82" s="615"/>
      <c r="K82" s="615"/>
      <c r="L82" s="615"/>
      <c r="M82" s="615"/>
      <c r="N82" s="615"/>
      <c r="O82" s="615"/>
      <c r="P82" s="615"/>
      <c r="Q82" s="615"/>
      <c r="R82" s="596"/>
      <c r="AQ82" s="441"/>
      <c r="BB82" s="441"/>
      <c r="BM82" s="249"/>
    </row>
    <row r="83" ht="38.25" customHeight="1">
      <c r="A83" s="615"/>
      <c r="B83" s="615"/>
      <c r="C83" s="615"/>
      <c r="D83" s="615"/>
      <c r="E83" s="615"/>
      <c r="F83" s="615"/>
      <c r="G83" s="615"/>
      <c r="H83" s="615"/>
      <c r="I83" s="615"/>
      <c r="J83" s="615"/>
      <c r="K83" s="615"/>
      <c r="L83" s="615"/>
      <c r="M83" s="615"/>
      <c r="N83" s="615"/>
      <c r="O83" s="615"/>
      <c r="P83" s="615"/>
      <c r="Q83" s="615"/>
      <c r="R83" s="596"/>
      <c r="AQ83" s="441"/>
      <c r="BB83" s="441"/>
      <c r="BM83" s="249"/>
    </row>
    <row r="84" ht="38.25" customHeight="1">
      <c r="A84" s="615"/>
      <c r="B84" s="615"/>
      <c r="C84" s="615"/>
      <c r="D84" s="615"/>
      <c r="E84" s="615"/>
      <c r="F84" s="615"/>
      <c r="G84" s="615"/>
      <c r="H84" s="615"/>
      <c r="I84" s="615"/>
      <c r="J84" s="615"/>
      <c r="K84" s="615"/>
      <c r="L84" s="615"/>
      <c r="M84" s="615"/>
      <c r="N84" s="615"/>
      <c r="O84" s="615"/>
      <c r="P84" s="615"/>
      <c r="Q84" s="615"/>
      <c r="R84" s="596"/>
      <c r="AQ84" s="441"/>
      <c r="BB84" s="441"/>
      <c r="BM84" s="249"/>
    </row>
    <row r="85" ht="38.25" customHeight="1">
      <c r="A85" s="615"/>
      <c r="B85" s="615"/>
      <c r="C85" s="615"/>
      <c r="D85" s="615"/>
      <c r="E85" s="615"/>
      <c r="F85" s="615"/>
      <c r="G85" s="615"/>
      <c r="H85" s="615"/>
      <c r="I85" s="615"/>
      <c r="J85" s="615"/>
      <c r="K85" s="615"/>
      <c r="L85" s="615"/>
      <c r="M85" s="615"/>
      <c r="N85" s="615"/>
      <c r="O85" s="615"/>
      <c r="P85" s="615"/>
      <c r="Q85" s="615"/>
      <c r="R85" s="596"/>
      <c r="AQ85" s="441"/>
      <c r="BB85" s="441"/>
      <c r="BM85" s="249"/>
    </row>
    <row r="86" ht="38.25" customHeight="1">
      <c r="A86" s="615"/>
      <c r="B86" s="615"/>
      <c r="C86" s="615"/>
      <c r="D86" s="615"/>
      <c r="E86" s="615"/>
      <c r="F86" s="615"/>
      <c r="G86" s="615"/>
      <c r="H86" s="615"/>
      <c r="I86" s="615"/>
      <c r="J86" s="615"/>
      <c r="K86" s="615"/>
      <c r="L86" s="615"/>
      <c r="M86" s="615"/>
      <c r="N86" s="615"/>
      <c r="O86" s="615"/>
      <c r="P86" s="615"/>
      <c r="Q86" s="615"/>
      <c r="R86" s="596"/>
      <c r="AQ86" s="441"/>
      <c r="BB86" s="441"/>
      <c r="BM86" s="249"/>
    </row>
    <row r="87" ht="38.25" customHeight="1">
      <c r="A87" s="615"/>
      <c r="B87" s="615"/>
      <c r="C87" s="615"/>
      <c r="D87" s="615"/>
      <c r="E87" s="615"/>
      <c r="F87" s="615"/>
      <c r="G87" s="615"/>
      <c r="H87" s="615"/>
      <c r="I87" s="615"/>
      <c r="J87" s="615"/>
      <c r="K87" s="615"/>
      <c r="L87" s="615"/>
      <c r="M87" s="615"/>
      <c r="N87" s="615"/>
      <c r="O87" s="615"/>
      <c r="P87" s="615"/>
      <c r="Q87" s="615"/>
      <c r="R87" s="596"/>
      <c r="AQ87" s="441"/>
      <c r="BB87" s="441"/>
      <c r="BM87" s="249"/>
    </row>
    <row r="88" ht="38.25" customHeight="1">
      <c r="A88" s="615"/>
      <c r="B88" s="615"/>
      <c r="C88" s="615"/>
      <c r="D88" s="615"/>
      <c r="E88" s="615"/>
      <c r="F88" s="615"/>
      <c r="G88" s="615"/>
      <c r="H88" s="615"/>
      <c r="I88" s="615"/>
      <c r="J88" s="615"/>
      <c r="K88" s="615"/>
      <c r="L88" s="615"/>
      <c r="M88" s="615"/>
      <c r="N88" s="615"/>
      <c r="O88" s="615"/>
      <c r="P88" s="615"/>
      <c r="Q88" s="615"/>
      <c r="R88" s="596"/>
      <c r="AQ88" s="441"/>
      <c r="BB88" s="441"/>
      <c r="BM88" s="249"/>
    </row>
    <row r="89" ht="38.25" customHeight="1">
      <c r="A89" s="615"/>
      <c r="B89" s="615"/>
      <c r="C89" s="615"/>
      <c r="D89" s="615"/>
      <c r="E89" s="615"/>
      <c r="F89" s="615"/>
      <c r="G89" s="615"/>
      <c r="H89" s="615"/>
      <c r="I89" s="615"/>
      <c r="J89" s="615"/>
      <c r="K89" s="615"/>
      <c r="L89" s="615"/>
      <c r="M89" s="615"/>
      <c r="N89" s="615"/>
      <c r="O89" s="615"/>
      <c r="P89" s="615"/>
      <c r="Q89" s="615"/>
      <c r="R89" s="596"/>
      <c r="AQ89" s="441"/>
      <c r="BB89" s="441"/>
      <c r="BM89" s="249"/>
    </row>
    <row r="90" ht="38.25" customHeight="1">
      <c r="A90" s="615"/>
      <c r="B90" s="615"/>
      <c r="C90" s="615"/>
      <c r="D90" s="615"/>
      <c r="E90" s="615"/>
      <c r="F90" s="615"/>
      <c r="G90" s="615"/>
      <c r="H90" s="615"/>
      <c r="I90" s="615"/>
      <c r="J90" s="615"/>
      <c r="K90" s="615"/>
      <c r="L90" s="615"/>
      <c r="M90" s="615"/>
      <c r="N90" s="615"/>
      <c r="O90" s="615"/>
      <c r="P90" s="615"/>
      <c r="Q90" s="615"/>
      <c r="R90" s="596"/>
      <c r="AQ90" s="441"/>
      <c r="BB90" s="441"/>
      <c r="BM90" s="249"/>
    </row>
    <row r="91" ht="38.25" customHeight="1">
      <c r="A91" s="615"/>
      <c r="B91" s="615"/>
      <c r="C91" s="615"/>
      <c r="D91" s="615"/>
      <c r="E91" s="615"/>
      <c r="F91" s="615"/>
      <c r="G91" s="615"/>
      <c r="H91" s="615"/>
      <c r="I91" s="615"/>
      <c r="J91" s="615"/>
      <c r="K91" s="615"/>
      <c r="L91" s="615"/>
      <c r="M91" s="615"/>
      <c r="N91" s="615"/>
      <c r="O91" s="615"/>
      <c r="P91" s="615"/>
      <c r="Q91" s="615"/>
      <c r="R91" s="596"/>
      <c r="AQ91" s="441"/>
      <c r="BB91" s="441"/>
      <c r="BM91" s="249"/>
    </row>
    <row r="92" ht="38.25" customHeight="1">
      <c r="A92" s="615"/>
      <c r="B92" s="615"/>
      <c r="C92" s="615"/>
      <c r="D92" s="615"/>
      <c r="E92" s="615"/>
      <c r="F92" s="615"/>
      <c r="G92" s="615"/>
      <c r="H92" s="615"/>
      <c r="I92" s="615"/>
      <c r="J92" s="615"/>
      <c r="K92" s="615"/>
      <c r="L92" s="615"/>
      <c r="M92" s="615"/>
      <c r="N92" s="615"/>
      <c r="O92" s="615"/>
      <c r="P92" s="615"/>
      <c r="Q92" s="615"/>
      <c r="R92" s="596"/>
      <c r="AQ92" s="441"/>
      <c r="BB92" s="441"/>
      <c r="BM92" s="249"/>
    </row>
    <row r="93" ht="38.25" customHeight="1">
      <c r="A93" s="615"/>
      <c r="B93" s="615"/>
      <c r="C93" s="615"/>
      <c r="D93" s="615"/>
      <c r="E93" s="615"/>
      <c r="F93" s="615"/>
      <c r="G93" s="615"/>
      <c r="H93" s="615"/>
      <c r="I93" s="615"/>
      <c r="J93" s="615"/>
      <c r="K93" s="615"/>
      <c r="L93" s="615"/>
      <c r="M93" s="615"/>
      <c r="N93" s="615"/>
      <c r="O93" s="615"/>
      <c r="P93" s="615"/>
      <c r="Q93" s="615"/>
      <c r="R93" s="596"/>
      <c r="AQ93" s="441"/>
      <c r="BB93" s="441"/>
      <c r="BM93" s="249"/>
    </row>
    <row r="94" ht="38.25" customHeight="1">
      <c r="A94" s="615"/>
      <c r="B94" s="615"/>
      <c r="C94" s="615"/>
      <c r="D94" s="615"/>
      <c r="E94" s="615"/>
      <c r="F94" s="615"/>
      <c r="G94" s="615"/>
      <c r="H94" s="615"/>
      <c r="I94" s="615"/>
      <c r="J94" s="615"/>
      <c r="K94" s="615"/>
      <c r="L94" s="615"/>
      <c r="M94" s="615"/>
      <c r="N94" s="615"/>
      <c r="O94" s="615"/>
      <c r="P94" s="615"/>
      <c r="Q94" s="615"/>
      <c r="R94" s="596"/>
      <c r="AQ94" s="441"/>
      <c r="BB94" s="441"/>
      <c r="BM94" s="249"/>
    </row>
    <row r="95" ht="38.25" customHeight="1">
      <c r="A95" s="615"/>
      <c r="B95" s="615"/>
      <c r="C95" s="615"/>
      <c r="D95" s="615"/>
      <c r="E95" s="615"/>
      <c r="F95" s="615"/>
      <c r="G95" s="615"/>
      <c r="H95" s="615"/>
      <c r="I95" s="615"/>
      <c r="J95" s="615"/>
      <c r="K95" s="615"/>
      <c r="L95" s="615"/>
      <c r="M95" s="615"/>
      <c r="N95" s="615"/>
      <c r="O95" s="615"/>
      <c r="P95" s="615"/>
      <c r="Q95" s="615"/>
      <c r="R95" s="596"/>
      <c r="AQ95" s="441"/>
      <c r="BB95" s="441"/>
      <c r="BM95" s="249"/>
    </row>
    <row r="96" ht="38.25" customHeight="1">
      <c r="A96" s="615"/>
      <c r="B96" s="615"/>
      <c r="C96" s="615"/>
      <c r="D96" s="615"/>
      <c r="E96" s="615"/>
      <c r="F96" s="615"/>
      <c r="G96" s="615"/>
      <c r="H96" s="615"/>
      <c r="I96" s="615"/>
      <c r="J96" s="615"/>
      <c r="K96" s="615"/>
      <c r="L96" s="615"/>
      <c r="M96" s="615"/>
      <c r="N96" s="615"/>
      <c r="O96" s="615"/>
      <c r="P96" s="615"/>
      <c r="Q96" s="615"/>
      <c r="R96" s="596"/>
      <c r="AQ96" s="441"/>
      <c r="BB96" s="441"/>
      <c r="BM96" s="249"/>
    </row>
    <row r="97" ht="39" customHeight="1">
      <c r="A97" s="615"/>
      <c r="B97" s="615"/>
      <c r="C97" s="615"/>
      <c r="D97" s="615"/>
      <c r="E97" s="615"/>
      <c r="F97" s="615"/>
      <c r="G97" s="615"/>
      <c r="H97" s="615"/>
      <c r="I97" s="615"/>
      <c r="J97" s="615"/>
      <c r="K97" s="615"/>
      <c r="L97" s="615"/>
      <c r="M97" s="615"/>
      <c r="N97" s="615"/>
      <c r="O97" s="615"/>
      <c r="P97" s="615"/>
      <c r="Q97" s="615"/>
      <c r="R97" s="596"/>
      <c r="AQ97" s="441"/>
      <c r="BB97" s="441"/>
      <c r="BM97" s="249"/>
    </row>
    <row r="98" ht="39" customHeight="1">
      <c r="A98" s="615" t="s">
        <v>245</v>
      </c>
      <c r="B98" s="615"/>
      <c r="C98" s="615"/>
      <c r="D98" s="615"/>
      <c r="E98" s="615"/>
      <c r="F98" s="615"/>
      <c r="G98" s="615"/>
      <c r="H98" s="615"/>
      <c r="I98" s="615"/>
      <c r="J98" s="615"/>
      <c r="K98" s="615"/>
      <c r="L98" s="615"/>
      <c r="M98" s="615"/>
      <c r="N98" s="615"/>
      <c r="O98" s="615"/>
      <c r="P98" s="615"/>
      <c r="Q98" s="615"/>
      <c r="R98" s="596"/>
      <c r="AR98" s="441"/>
      <c r="BN98" s="249"/>
    </row>
    <row r="99" ht="39" customHeight="1">
      <c r="A99" s="615"/>
      <c r="B99" s="615"/>
      <c r="C99" s="615"/>
      <c r="D99" s="615"/>
      <c r="E99" s="615"/>
      <c r="F99" s="615"/>
      <c r="G99" s="615"/>
      <c r="H99" s="615"/>
      <c r="I99" s="615"/>
      <c r="J99" s="615"/>
      <c r="K99" s="615"/>
      <c r="L99" s="615"/>
      <c r="M99" s="615"/>
      <c r="N99" s="615"/>
      <c r="O99" s="615"/>
      <c r="P99" s="615"/>
      <c r="Q99" s="615"/>
      <c r="R99" s="596"/>
      <c r="AR99" s="441"/>
      <c r="BN99" s="249"/>
    </row>
    <row r="100" ht="39" customHeight="1">
      <c r="A100" s="615"/>
      <c r="B100" s="615"/>
      <c r="C100" s="615"/>
      <c r="D100" s="615"/>
      <c r="E100" s="615"/>
      <c r="F100" s="615"/>
      <c r="G100" s="615"/>
      <c r="H100" s="615"/>
      <c r="I100" s="615"/>
      <c r="J100" s="615"/>
      <c r="K100" s="615"/>
      <c r="L100" s="615"/>
      <c r="M100" s="615"/>
      <c r="N100" s="615"/>
      <c r="O100" s="615"/>
      <c r="P100" s="615"/>
      <c r="Q100" s="615"/>
      <c r="R100" s="596"/>
      <c r="AR100" s="441"/>
      <c r="BN100" s="249"/>
    </row>
    <row r="101" ht="39" customHeight="1">
      <c r="A101" s="615"/>
      <c r="B101" s="615"/>
      <c r="C101" s="615"/>
      <c r="D101" s="615"/>
      <c r="E101" s="615"/>
      <c r="F101" s="615"/>
      <c r="G101" s="615"/>
      <c r="H101" s="615"/>
      <c r="I101" s="615"/>
      <c r="J101" s="615"/>
      <c r="K101" s="615"/>
      <c r="L101" s="615"/>
      <c r="M101" s="615"/>
      <c r="N101" s="615"/>
      <c r="O101" s="615"/>
      <c r="P101" s="615"/>
      <c r="Q101" s="615"/>
      <c r="R101" s="596"/>
      <c r="AR101" s="441"/>
      <c r="BN101" s="249"/>
    </row>
    <row r="102" ht="39" customHeight="1">
      <c r="A102" s="615"/>
      <c r="B102" s="615"/>
      <c r="C102" s="615"/>
      <c r="D102" s="615"/>
      <c r="E102" s="615"/>
      <c r="F102" s="615"/>
      <c r="G102" s="615"/>
      <c r="H102" s="615"/>
      <c r="I102" s="615"/>
      <c r="J102" s="615"/>
      <c r="K102" s="615"/>
      <c r="L102" s="615"/>
      <c r="M102" s="615"/>
      <c r="N102" s="615"/>
      <c r="O102" s="615"/>
      <c r="P102" s="615"/>
      <c r="Q102" s="615"/>
      <c r="R102" s="596"/>
      <c r="AR102" s="441"/>
      <c r="BN102" s="249"/>
    </row>
    <row r="103" ht="39" customHeight="1">
      <c r="A103" s="615"/>
      <c r="B103" s="615"/>
      <c r="C103" s="615"/>
      <c r="D103" s="615"/>
      <c r="E103" s="615"/>
      <c r="F103" s="615"/>
      <c r="G103" s="615"/>
      <c r="H103" s="615"/>
      <c r="I103" s="615"/>
      <c r="J103" s="615"/>
      <c r="K103" s="615"/>
      <c r="L103" s="615"/>
      <c r="M103" s="615"/>
      <c r="N103" s="615"/>
      <c r="O103" s="615"/>
      <c r="P103" s="615"/>
      <c r="Q103" s="615"/>
      <c r="R103" s="596"/>
      <c r="AR103" s="441"/>
      <c r="BN103" s="249"/>
    </row>
    <row r="104" ht="39" customHeight="1">
      <c r="A104" s="615"/>
      <c r="B104" s="615"/>
      <c r="C104" s="615"/>
      <c r="D104" s="615"/>
      <c r="E104" s="615"/>
      <c r="F104" s="615"/>
      <c r="G104" s="615"/>
      <c r="H104" s="615"/>
      <c r="I104" s="615"/>
      <c r="J104" s="615"/>
      <c r="K104" s="615"/>
      <c r="L104" s="615"/>
      <c r="M104" s="615"/>
      <c r="N104" s="615"/>
      <c r="O104" s="615"/>
      <c r="P104" s="615"/>
      <c r="Q104" s="615"/>
      <c r="R104" s="596"/>
      <c r="AR104" s="441"/>
      <c r="BN104" s="249"/>
    </row>
    <row r="105" ht="39" customHeight="1">
      <c r="A105" s="615"/>
      <c r="B105" s="615"/>
      <c r="C105" s="615"/>
      <c r="D105" s="615"/>
      <c r="E105" s="615"/>
      <c r="F105" s="615"/>
      <c r="G105" s="615"/>
      <c r="H105" s="615"/>
      <c r="I105" s="615"/>
      <c r="J105" s="615"/>
      <c r="K105" s="615"/>
      <c r="L105" s="615"/>
      <c r="M105" s="615"/>
      <c r="N105" s="615"/>
      <c r="O105" s="615"/>
      <c r="P105" s="615"/>
      <c r="Q105" s="615"/>
      <c r="R105" s="596"/>
      <c r="AR105" s="441"/>
      <c r="BN105" s="249"/>
    </row>
    <row r="106" ht="39" customHeight="1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5"/>
      <c r="L106" s="615"/>
      <c r="M106" s="615"/>
      <c r="N106" s="615"/>
      <c r="O106" s="615"/>
      <c r="P106" s="615"/>
      <c r="Q106" s="615"/>
      <c r="R106" s="596"/>
      <c r="AR106" s="441"/>
      <c r="BN106" s="249"/>
    </row>
    <row r="107" ht="39" customHeight="1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15"/>
      <c r="P107" s="615"/>
      <c r="Q107" s="615"/>
      <c r="R107" s="596"/>
      <c r="AR107" s="441"/>
      <c r="BN107" s="249"/>
    </row>
    <row r="108" ht="39" customHeight="1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5"/>
      <c r="P108" s="615"/>
      <c r="Q108" s="615"/>
      <c r="R108" s="596"/>
      <c r="AR108" s="441"/>
      <c r="BN108" s="249"/>
    </row>
    <row r="109" ht="39" customHeight="1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5"/>
      <c r="L109" s="615"/>
      <c r="M109" s="615"/>
      <c r="N109" s="615"/>
      <c r="O109" s="615"/>
      <c r="P109" s="615"/>
      <c r="Q109" s="615"/>
      <c r="R109" s="596"/>
      <c r="AR109" s="441"/>
      <c r="BN109" s="249"/>
    </row>
    <row r="110" ht="39" customHeight="1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5"/>
      <c r="L110" s="615"/>
      <c r="M110" s="615"/>
      <c r="N110" s="615"/>
      <c r="O110" s="615"/>
      <c r="P110" s="615"/>
      <c r="Q110" s="615"/>
      <c r="R110" s="596"/>
      <c r="AR110" s="441"/>
      <c r="BN110" s="249"/>
    </row>
    <row r="111" ht="39" customHeight="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5"/>
      <c r="L111" s="615"/>
      <c r="M111" s="615"/>
      <c r="N111" s="615"/>
      <c r="O111" s="615"/>
      <c r="P111" s="615"/>
      <c r="Q111" s="615"/>
      <c r="R111" s="596"/>
      <c r="AR111" s="441"/>
      <c r="BN111" s="249"/>
    </row>
    <row r="112" ht="39" customHeight="1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5"/>
      <c r="L112" s="615"/>
      <c r="M112" s="615"/>
      <c r="N112" s="615"/>
      <c r="O112" s="615"/>
      <c r="P112" s="615"/>
      <c r="Q112" s="615"/>
      <c r="R112" s="596"/>
      <c r="AR112" s="441"/>
      <c r="BN112" s="249"/>
    </row>
    <row r="113" ht="39" customHeight="1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5"/>
      <c r="L113" s="615"/>
      <c r="M113" s="615"/>
      <c r="N113" s="615"/>
      <c r="O113" s="615"/>
      <c r="P113" s="615"/>
      <c r="Q113" s="615"/>
      <c r="R113" s="596"/>
      <c r="AR113" s="441"/>
      <c r="BN113" s="249"/>
    </row>
    <row r="114" ht="39" customHeight="1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5"/>
      <c r="L114" s="615"/>
      <c r="M114" s="615"/>
      <c r="N114" s="615"/>
      <c r="O114" s="615"/>
      <c r="P114" s="615"/>
      <c r="Q114" s="615"/>
      <c r="R114" s="596"/>
      <c r="AR114" s="441"/>
      <c r="BN114" s="249"/>
    </row>
    <row r="115" ht="39" customHeight="1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5"/>
      <c r="P115" s="615"/>
      <c r="Q115" s="615"/>
      <c r="R115" s="596"/>
      <c r="AR115" s="441"/>
      <c r="BN115" s="249"/>
    </row>
    <row r="116">
      <c r="AR116" s="441"/>
      <c r="BN116" s="249"/>
    </row>
    <row r="117">
      <c r="AR117" s="441"/>
      <c r="BN117" s="249"/>
    </row>
    <row r="118">
      <c r="AR118" s="441"/>
      <c r="BN118" s="249"/>
    </row>
    <row r="119">
      <c r="AR119" s="441"/>
      <c r="BN119" s="249"/>
    </row>
    <row r="120">
      <c r="AR120" s="441"/>
      <c r="BN120" s="249"/>
    </row>
    <row r="121">
      <c r="AR121" s="441"/>
      <c r="BN121" s="249"/>
    </row>
    <row r="122">
      <c r="AR122" s="441"/>
      <c r="BN122" s="249"/>
    </row>
    <row r="123">
      <c r="AR123" s="441"/>
      <c r="BN123" s="249"/>
    </row>
    <row r="124">
      <c r="AR124" s="441"/>
      <c r="BN124" s="249"/>
    </row>
    <row r="125">
      <c r="AR125" s="441"/>
      <c r="BN125" s="249"/>
    </row>
    <row r="126">
      <c r="AR126" s="441"/>
      <c r="BN126" s="249"/>
    </row>
    <row r="127">
      <c r="AR127" s="441"/>
      <c r="BN127" s="249"/>
    </row>
    <row r="128">
      <c r="AR128" s="441"/>
      <c r="BN128" s="249"/>
    </row>
    <row r="129">
      <c r="AR129" s="441"/>
      <c r="BN129" s="249"/>
    </row>
    <row r="130">
      <c r="AR130" s="441"/>
      <c r="BN130" s="249"/>
    </row>
    <row r="131">
      <c r="AR131" s="441"/>
      <c r="BN131" s="249"/>
    </row>
    <row r="132">
      <c r="AR132" s="441"/>
      <c r="BN132" s="249"/>
    </row>
    <row r="133">
      <c r="AR133" s="441"/>
      <c r="BN133" s="249"/>
    </row>
    <row r="134">
      <c r="AR134" s="441"/>
      <c r="BN134" s="249"/>
    </row>
    <row r="135">
      <c r="AR135" s="441"/>
      <c r="BN135" s="249"/>
    </row>
    <row r="136">
      <c r="AR136" s="441"/>
      <c r="BN136" s="249"/>
    </row>
    <row r="137">
      <c r="AR137" s="441"/>
      <c r="BN137" s="249"/>
    </row>
    <row r="138">
      <c r="AR138" s="441"/>
      <c r="BN138" s="249"/>
    </row>
    <row r="139">
      <c r="AR139" s="441"/>
      <c r="BN139" s="249"/>
    </row>
    <row r="140">
      <c r="AR140" s="441"/>
      <c r="BN140" s="249"/>
    </row>
    <row r="141">
      <c r="AR141" s="441"/>
      <c r="BN141" s="249"/>
    </row>
    <row r="142">
      <c r="AR142" s="441"/>
      <c r="BN142" s="249"/>
    </row>
    <row r="143">
      <c r="AR143" s="441"/>
      <c r="BN143" s="249"/>
    </row>
    <row r="144">
      <c r="AR144" s="441"/>
      <c r="BN144" s="249"/>
    </row>
    <row r="145">
      <c r="AR145" s="441"/>
      <c r="BN145" s="249"/>
    </row>
    <row r="146">
      <c r="AR146" s="441"/>
      <c r="BN146" s="249"/>
    </row>
    <row r="147">
      <c r="AR147" s="441"/>
      <c r="BN147" s="249"/>
    </row>
    <row r="148">
      <c r="AR148" s="441"/>
      <c r="BN148" s="249"/>
    </row>
    <row r="149">
      <c r="AR149" s="441"/>
      <c r="BN149" s="249"/>
    </row>
    <row r="150">
      <c r="AR150" s="441"/>
      <c r="BN150" s="249"/>
    </row>
    <row r="151">
      <c r="AR151" s="441"/>
      <c r="BN151" s="249"/>
    </row>
    <row r="152">
      <c r="AR152" s="441"/>
      <c r="BN152" s="249"/>
    </row>
    <row r="153">
      <c r="AR153" s="441"/>
      <c r="BN153" s="249"/>
    </row>
    <row r="154">
      <c r="AR154" s="441"/>
      <c r="BN154" s="249"/>
    </row>
    <row r="155">
      <c r="AR155" s="441"/>
      <c r="BN155" s="249"/>
    </row>
    <row r="156">
      <c r="AR156" s="441"/>
      <c r="BN156" s="249"/>
    </row>
    <row r="157">
      <c r="AR157" s="441"/>
      <c r="BN157" s="249"/>
    </row>
    <row r="158">
      <c r="AR158" s="441"/>
      <c r="BN158" s="249"/>
    </row>
    <row r="159">
      <c r="AR159" s="441"/>
      <c r="BN159" s="249"/>
    </row>
    <row r="160">
      <c r="AR160" s="441"/>
      <c r="BN160" s="249"/>
    </row>
    <row r="161">
      <c r="AR161" s="441"/>
      <c r="BN161" s="249"/>
    </row>
    <row r="162">
      <c r="AR162" s="441"/>
      <c r="BN162" s="249"/>
    </row>
    <row r="163">
      <c r="AR163" s="441"/>
      <c r="BN163" s="249"/>
    </row>
    <row r="164">
      <c r="AR164" s="441"/>
      <c r="BN164" s="249"/>
    </row>
    <row r="165">
      <c r="AR165" s="441"/>
      <c r="BN165" s="249"/>
    </row>
    <row r="166">
      <c r="AR166" s="441"/>
      <c r="BN166" s="249"/>
    </row>
    <row r="167">
      <c r="AR167" s="441"/>
      <c r="BN167" s="249"/>
    </row>
    <row r="168">
      <c r="AR168" s="441"/>
      <c r="BN168" s="249"/>
    </row>
    <row r="169">
      <c r="AR169" s="441"/>
      <c r="BN169" s="249"/>
    </row>
    <row r="170">
      <c r="AR170" s="441"/>
      <c r="BN170" s="249"/>
    </row>
    <row r="171">
      <c r="AR171" s="441"/>
      <c r="BN171" s="249"/>
    </row>
    <row r="172">
      <c r="AR172" s="441"/>
      <c r="BN172" s="249"/>
    </row>
    <row r="173">
      <c r="AR173" s="441"/>
      <c r="BN173" s="249"/>
    </row>
    <row r="174">
      <c r="AR174" s="441"/>
      <c r="BN174" s="249"/>
    </row>
    <row r="175">
      <c r="AR175" s="441"/>
      <c r="BN175" s="249"/>
    </row>
    <row r="176">
      <c r="AR176" s="441"/>
      <c r="BN176" s="249"/>
    </row>
    <row r="177">
      <c r="AR177" s="441"/>
      <c r="BN177" s="249"/>
    </row>
    <row r="178">
      <c r="AR178" s="441"/>
      <c r="BN178" s="249"/>
    </row>
    <row r="179">
      <c r="AR179" s="441"/>
      <c r="BN179" s="249"/>
    </row>
    <row r="180">
      <c r="AR180" s="441"/>
      <c r="BN180" s="249"/>
    </row>
    <row r="181">
      <c r="AR181" s="441"/>
      <c r="BN181" s="249"/>
    </row>
    <row r="182">
      <c r="AR182" s="441"/>
      <c r="BN182" s="249"/>
    </row>
    <row r="183">
      <c r="AR183" s="441"/>
      <c r="BN183" s="249"/>
    </row>
    <row r="184">
      <c r="AR184" s="441"/>
      <c r="BN184" s="249"/>
    </row>
    <row r="185">
      <c r="AR185" s="441"/>
      <c r="BN185" s="249"/>
    </row>
    <row r="186">
      <c r="AR186" s="441"/>
    </row>
  </sheetData>
  <sheetProtection autoFilter="0"/>
  <mergeCells>
    <mergeCell ref="BD57:BE57"/>
    <mergeCell ref="BD58:BE58"/>
    <mergeCell ref="R1:R115"/>
    <mergeCell ref="A98:Q115"/>
    <mergeCell ref="A78:Q97"/>
    <mergeCell ref="AE41:AQ58"/>
    <mergeCell ref="AZ34:BB34"/>
    <mergeCell ref="S60:T60"/>
    <mergeCell ref="Y62:Z64"/>
    <mergeCell ref="A21:Q37"/>
    <mergeCell ref="S21:T21"/>
    <mergeCell ref="A38:Q42"/>
    <mergeCell ref="AE33:AQ38"/>
    <mergeCell ref="AL28:AM29"/>
    <mergeCell ref="AL26:AM27"/>
    <mergeCell ref="AS57:AT57"/>
    <mergeCell ref="BK54:BM54"/>
    <mergeCell ref="AS37:AT37"/>
    <mergeCell ref="AS38:AT38"/>
    <mergeCell ref="BD37:BE37"/>
    <mergeCell ref="BD38:BE38"/>
    <mergeCell ref="AZ54:BB54"/>
    <mergeCell ref="AS58:AT58"/>
    <mergeCell ref="AK26:AK27"/>
    <mergeCell ref="AJ26:AJ27"/>
    <mergeCell ref="AI26:AI27"/>
    <mergeCell ref="AH26:AH27"/>
    <mergeCell ref="AS41:AT41"/>
    <mergeCell ref="AG22:AH23"/>
    <mergeCell ref="AE22:AF23"/>
    <mergeCell ref="V33:W33"/>
    <mergeCell ref="S42:T42"/>
    <mergeCell ref="A43:Q59"/>
    <mergeCell ref="Y44:Z46"/>
    <mergeCell ref="S39:AC41"/>
    <mergeCell ref="AG2:AH4"/>
    <mergeCell ref="AF2:AF4"/>
    <mergeCell ref="S8:T9"/>
    <mergeCell ref="AE10:AQ16"/>
    <mergeCell ref="A16:Q20"/>
    <mergeCell ref="A1:Q7"/>
    <mergeCell ref="J8:L10"/>
    <mergeCell ref="N8:P10"/>
    <mergeCell ref="B15:P15"/>
    <mergeCell ref="M8:M10"/>
    <mergeCell ref="M12:M14"/>
    <mergeCell ref="I12:I14"/>
    <mergeCell ref="I8:I10"/>
    <mergeCell ref="B8:D10"/>
    <mergeCell ref="F8:H10"/>
    <mergeCell ref="BN4:BN13"/>
    <mergeCell ref="BF1:BN3"/>
    <mergeCell ref="BF4:BM5"/>
    <mergeCell ref="BK14:BN14"/>
    <mergeCell ref="AO8:AP8"/>
    <mergeCell ref="AO6:AP6"/>
    <mergeCell ref="BK34:BM34"/>
    <mergeCell ref="AE31:AP31"/>
    <mergeCell ref="A60:Q76"/>
    <mergeCell ref="AZ14:BB14"/>
    <mergeCell ref="AK28:AK29"/>
    <mergeCell ref="AG28:AG29"/>
    <mergeCell ref="AH28:AH29"/>
    <mergeCell ref="AI28:AI29"/>
    <mergeCell ref="Z14:AC14"/>
    <mergeCell ref="B12:D14"/>
    <mergeCell ref="F12:H14"/>
    <mergeCell ref="Z37:AC37"/>
    <mergeCell ref="J12:L14"/>
    <mergeCell ref="N12:P14"/>
    <mergeCell ref="AG26:AG27"/>
    <mergeCell ref="AJ28:AJ29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41" right="0.19685039370078741" top="0.23622047244094491" bottom="0.23622047244094491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F9ECD94-F7DB-4E5E-AF06-34F9803A60CE}">
          <x14:formula1>
            <xm:f>Sheet2!$B$5:$B$7</xm:f>
          </x14:formula1>
          <xm:sqref>T25 T46 T64</xm:sqref>
        </x14:dataValidation>
        <x14:dataValidation type="list" allowBlank="1" showInputMessage="1" showErrorMessage="1" xr:uid="{1439CD55-1F1C-4A8F-A509-2BDD4086BDCE}">
          <x14:formula1>
            <xm:f>Sheet2!$C$5:$C$6</xm:f>
          </x14:formula1>
          <xm:sqref>T26</xm:sqref>
        </x14:dataValidation>
        <x14:dataValidation type="list" allowBlank="1" showInputMessage="1" showErrorMessage="1" xr:uid="{30B6D33E-B164-4E31-BF47-C2D3657105B1}">
          <x14:formula1>
            <xm:f>Sheet2!$D$5:$D$6</xm:f>
          </x14:formula1>
          <xm:sqref>T32 T53 T71</xm:sqref>
        </x14:dataValidation>
        <x14:dataValidation type="list" allowBlank="1" showInputMessage="1" showErrorMessage="1" xr:uid="{E0346963-A07A-4B7E-A5EB-ADF2EE39F54B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66B50C0-8DCD-4340-9664-6A795884C985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67694CA-8614-4325-9093-62F80FCE8749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63DB40E-1038-4942-904E-CC2BFB3FA887}">
          <x14:formula1>
            <xm:f>Sheet2!$D$2:$D$4</xm:f>
          </x14:formula1>
          <xm:sqref>U14 AU14 BF14 AU34 AT32 BF34 BE32 AU54 AT52 BF54 BE52</xm:sqref>
        </x14:dataValidation>
        <x14:dataValidation type="list" allowBlank="1" showInputMessage="1" showErrorMessage="1" xr:uid="{2819CBB6-9EB7-4BBE-90E3-3857B6F62DD8}">
          <x14:formula1>
            <xm:f>Sheet2!$A$5</xm:f>
          </x14:formula1>
          <xm:sqref>U31</xm:sqref>
        </x14:dataValidation>
        <x14:dataValidation type="list" allowBlank="1" showInputMessage="1" showErrorMessage="1" xr:uid="{A02F25F6-8C8F-4CE6-8BBD-5172ACE143D4}">
          <x14:formula1>
            <xm:f>Sheet2!$A$6</xm:f>
          </x14:formula1>
          <xm:sqref>AC36</xm:sqref>
        </x14:dataValidation>
        <x14:dataValidation type="list" allowBlank="1" showInputMessage="1" showErrorMessage="1" xr:uid="{B4D9736F-8EAD-4B5E-A7EF-33CD58B624BA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7DD96DD9-A346-471D-8857-A0315A355F31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13232878-C325-4DB4-92D6-A4A2C3DEABE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6BA437EC-3C5C-499D-A5EB-47FCB86DA5D8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36C5B95-5262-4170-8A6A-4CBA30C54A2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25E31DDE-EA52-40B0-B78B-084E3870632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F228BF56-DA0E-4A75-8BAD-12B59DC75C7A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A4533FA8-C0CC-431E-B044-6433A74ABD4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3B31039B-D4B1-4D2F-823A-C73EC118C55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BAF9E028-3929-46AD-BF53-3E83F4CECEC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8CE8510-5DE3-4F78-8E8D-3B055385F6A6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BD4D6720-2F4D-4A51-845F-3E75F9AA843D}">
          <x14:formula1>
            <xm:f>wavy1!$A$19:$A$20</xm:f>
          </x14:formula1>
          <xm:sqref>AT9 AT29 BE29 AT49 BE49</xm:sqref>
        </x14:dataValidation>
        <x14:dataValidation type="list" allowBlank="1" showInputMessage="1" showErrorMessage="1" xr:uid="{D7ACB3C9-ED4B-4923-8AC5-A4DA35A78409}">
          <x14:formula1>
            <xm:f>wavy2!$A$19:$A$20</xm:f>
          </x14:formula1>
          <xm:sqref>BE9</xm:sqref>
        </x14:dataValidation>
        <x14:dataValidation type="list" allowBlank="1" showInputMessage="1" showErrorMessage="1" xr:uid="{6F341BEB-5A31-4616-825D-22FBBF1D55E9}">
          <x14:formula1>
            <xm:f>Royal!$N$2:$N$20</xm:f>
          </x14:formula1>
          <xm:sqref>T24 BE4 AT4 T4 T45 T63 AT24 BE24 AT44 BE44</xm:sqref>
        </x14:dataValidation>
        <x14:dataValidation type="list" allowBlank="1" showInputMessage="1" showErrorMessage="1" xr:uid="{A41C53A0-BF9F-4669-99E2-7D403314CB5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Y121" zoomScale="55" zoomScaleNormal="55" workbookViewId="0">
      <selection activeCell="BD140" sqref="BD140"/>
    </sheetView>
  </sheetViews>
  <sheetFormatPr defaultColWidth="9.140625" defaultRowHeight="15"/>
  <cols>
    <col min="1" max="1" width="38.28515625" customWidth="1" style="2"/>
    <col min="2" max="3" width="13" customWidth="1" style="2"/>
    <col min="4" max="4" width="11.7109375" customWidth="1" style="2"/>
    <col min="5" max="5" width="14.140625" customWidth="1" style="2"/>
    <col min="6" max="6" width="19.85546875" customWidth="1" style="2"/>
    <col min="7" max="7" bestFit="1" width="5.5703125" customWidth="1" style="2"/>
    <col min="8" max="8" width="8.7109375" customWidth="1" style="2"/>
    <col min="9" max="9" width="7.7109375" customWidth="1" style="2"/>
    <col min="10" max="10" width="15.7109375" customWidth="1" style="2"/>
    <col min="11" max="11" width="9.140625" customWidth="1" style="2"/>
    <col min="12" max="12" width="5.85546875" customWidth="1" style="2"/>
    <col min="13" max="13" width="15.140625" customWidth="1" style="2"/>
    <col min="14" max="14" width="56.28515625" customWidth="1" style="2"/>
    <col min="15" max="17" width="9.140625" customWidth="1" style="2"/>
    <col min="18" max="18" width="19.28515625" customWidth="1" style="2"/>
    <col min="19" max="19" width="16.42578125" customWidth="1" style="2"/>
    <col min="20" max="20" width="20.7109375" customWidth="1" style="2"/>
    <col min="21" max="21" width="25.28515625" customWidth="1" style="2"/>
    <col min="22" max="22" width="16.85546875" customWidth="1" style="2"/>
    <col min="23" max="23" width="18.140625" customWidth="1" style="2"/>
    <col min="24" max="24" width="9.140625" customWidth="1" style="2"/>
    <col min="25" max="25" width="14.5703125" customWidth="1" style="2"/>
    <col min="26" max="35" width="9.140625" customWidth="1" style="2"/>
    <col min="36" max="36" width="55.140625" customWidth="1" style="2"/>
    <col min="37" max="37" width="9.140625" customWidth="1" style="2"/>
    <col min="38" max="38" width="16.7109375" customWidth="1" style="2"/>
    <col min="39" max="39" width="17" customWidth="1" style="2"/>
    <col min="40" max="47" width="9.140625" customWidth="1" style="2"/>
    <col min="48" max="48" width="46.85546875" customWidth="1" style="2"/>
    <col min="49" max="49" width="14.28515625" customWidth="1" style="2"/>
    <col min="50" max="50" width="14.85546875" customWidth="1" style="2"/>
    <col min="51" max="51" width="12.5703125" customWidth="1" style="2"/>
    <col min="52" max="52" width="14.85546875" customWidth="1" style="2"/>
    <col min="53" max="53" width="22.28515625" customWidth="1" style="2"/>
    <col min="54" max="54" width="3.42578125" customWidth="1" style="2"/>
    <col min="55" max="55" width="13.7109375" customWidth="1" style="2"/>
    <col min="56" max="56" width="17.7109375" customWidth="1" style="2"/>
    <col min="57" max="57" width="14.140625" customWidth="1" style="2"/>
    <col min="58" max="58" width="6.28515625" customWidth="1" style="2"/>
    <col min="59" max="59" width="14.28515625" customWidth="1" style="2"/>
    <col min="60" max="60" width="13" customWidth="1" style="2"/>
    <col min="61" max="61" width="44.28515625" customWidth="1" style="2"/>
    <col min="62" max="62" width="14.28515625" customWidth="1" style="2"/>
    <col min="63" max="63" width="14.140625" customWidth="1" style="2"/>
    <col min="64" max="64" width="13.85546875" customWidth="1" style="2"/>
    <col min="65" max="65" width="14.140625" customWidth="1" style="2"/>
    <col min="66" max="66" width="14.7109375" customWidth="1" style="2"/>
    <col min="67" max="67" width="13.7109375" customWidth="1" style="2"/>
    <col min="68" max="68" width="17.7109375" customWidth="1" style="2"/>
    <col min="69" max="69" width="21.85546875" customWidth="1" style="2"/>
    <col min="70" max="70" width="21.140625" customWidth="1" style="2"/>
    <col min="71" max="16384" width="9.140625" customWidth="1" style="2"/>
  </cols>
  <sheetData>
    <row r="1" ht="21.75">
      <c r="A1" s="481" t="s">
        <v>278</v>
      </c>
      <c r="B1" s="482">
        <f>(F1*D1)/10000</f>
        <v>20</v>
      </c>
      <c r="C1" s="483" t="s">
        <v>10</v>
      </c>
      <c r="D1" s="484">
        <f>تسعير!AT34</f>
        <v>500</v>
      </c>
      <c r="E1" s="483" t="s">
        <v>9</v>
      </c>
      <c r="F1" s="484">
        <f>تسعير!AT33</f>
        <v>400</v>
      </c>
      <c r="G1" s="485"/>
      <c r="H1" s="485"/>
      <c r="I1" s="485" t="str">
        <f>تسعير!AT32</f>
        <v>بالتات</v>
      </c>
      <c r="J1" s="485"/>
      <c r="K1" s="485"/>
      <c r="L1" s="621" t="s">
        <v>34</v>
      </c>
      <c r="M1" s="622"/>
      <c r="N1" s="623"/>
      <c r="O1" s="207" t="s">
        <v>35</v>
      </c>
      <c r="P1" s="208" t="s">
        <v>36</v>
      </c>
      <c r="Q1" s="171" t="s">
        <v>37</v>
      </c>
      <c r="R1" s="213" t="s">
        <v>38</v>
      </c>
      <c r="S1" s="213" t="s">
        <v>39</v>
      </c>
      <c r="T1" s="213" t="s">
        <v>40</v>
      </c>
      <c r="U1" s="213" t="s">
        <v>41</v>
      </c>
      <c r="V1" s="486" t="s">
        <v>42</v>
      </c>
      <c r="W1" s="487"/>
      <c r="X1" s="488"/>
      <c r="Y1" s="488" t="s">
        <v>43</v>
      </c>
      <c r="Z1" s="488" t="s">
        <v>44</v>
      </c>
      <c r="AA1" s="488" t="s">
        <v>45</v>
      </c>
      <c r="AB1" s="488" t="s">
        <v>46</v>
      </c>
      <c r="AC1" s="488" t="s">
        <v>47</v>
      </c>
      <c r="AD1" s="488" t="s">
        <v>48</v>
      </c>
      <c r="AE1" s="488" t="s">
        <v>49</v>
      </c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  <c r="AT1" s="489"/>
      <c r="AU1" s="190"/>
      <c r="AV1" s="481" t="s">
        <v>398</v>
      </c>
      <c r="AW1" s="482">
        <f>(BA1*AY1)/10000</f>
        <v>15</v>
      </c>
      <c r="AX1" s="483" t="s">
        <v>10</v>
      </c>
      <c r="AY1" s="484">
        <f>تسعير!$AT$54</f>
        <v>600</v>
      </c>
      <c r="AZ1" s="483" t="s">
        <v>9</v>
      </c>
      <c r="BA1" s="484">
        <f>تسعير!$AT$53</f>
        <v>250</v>
      </c>
      <c r="BB1" s="485"/>
      <c r="BC1" s="485"/>
      <c r="BD1" s="485" t="str">
        <f>تسعير!AT52</f>
        <v>بالتات</v>
      </c>
      <c r="BE1" s="485"/>
      <c r="BF1" s="485"/>
      <c r="BG1" s="621" t="s">
        <v>34</v>
      </c>
      <c r="BH1" s="622"/>
      <c r="BI1" s="623"/>
      <c r="BJ1" s="207" t="s">
        <v>35</v>
      </c>
      <c r="BK1" s="208" t="s">
        <v>36</v>
      </c>
      <c r="BL1" s="171" t="s">
        <v>37</v>
      </c>
      <c r="BM1" s="213" t="s">
        <v>38</v>
      </c>
      <c r="BN1" s="213" t="s">
        <v>39</v>
      </c>
      <c r="BO1" s="213" t="s">
        <v>40</v>
      </c>
      <c r="BP1" s="213" t="s">
        <v>41</v>
      </c>
      <c r="BQ1" s="486" t="s">
        <v>42</v>
      </c>
      <c r="BR1" s="487"/>
      <c r="BS1" s="488"/>
      <c r="BT1" s="488" t="s">
        <v>43</v>
      </c>
      <c r="BU1" s="488" t="s">
        <v>44</v>
      </c>
      <c r="BV1" s="488" t="s">
        <v>45</v>
      </c>
      <c r="BW1" s="488" t="s">
        <v>46</v>
      </c>
      <c r="BX1" s="488" t="s">
        <v>47</v>
      </c>
      <c r="BY1" s="488" t="s">
        <v>48</v>
      </c>
      <c r="BZ1" s="488" t="s">
        <v>49</v>
      </c>
      <c r="CA1" s="488"/>
      <c r="CB1" s="488"/>
      <c r="CC1" s="488"/>
      <c r="CD1" s="488"/>
      <c r="CE1" s="488"/>
      <c r="CF1" s="488"/>
      <c r="CG1" s="488"/>
      <c r="CH1" s="488"/>
      <c r="CI1" s="488"/>
      <c r="CJ1" s="488"/>
      <c r="CK1" s="488"/>
      <c r="CL1" s="488"/>
      <c r="CM1" s="488"/>
      <c r="CN1" s="488"/>
      <c r="CO1" s="489"/>
    </row>
    <row r="2" ht="19.5">
      <c r="A2" s="490" t="s">
        <v>43</v>
      </c>
      <c r="B2" s="475" t="s">
        <v>62</v>
      </c>
      <c r="C2" s="475" t="s">
        <v>399</v>
      </c>
      <c r="D2" s="475" t="s">
        <v>64</v>
      </c>
      <c r="E2" s="475" t="s">
        <v>400</v>
      </c>
      <c r="F2" s="475" t="s">
        <v>401</v>
      </c>
      <c r="H2" s="405" t="s">
        <v>402</v>
      </c>
      <c r="I2" s="405"/>
      <c r="J2" s="405" t="s">
        <v>403</v>
      </c>
      <c r="L2" s="624"/>
      <c r="M2" s="625"/>
      <c r="N2" s="626"/>
      <c r="O2" s="209"/>
      <c r="P2" s="210"/>
      <c r="Q2" s="194">
        <f>O2*P2</f>
        <v>0</v>
      </c>
      <c r="R2" s="214" t="e">
        <f>R72/Q2</f>
        <v>#DIV/0!</v>
      </c>
      <c r="S2" s="217">
        <f>Sheet2!B12</f>
        <v>46000</v>
      </c>
      <c r="T2" s="200">
        <f>Sheet2!B13</f>
        <v>57000</v>
      </c>
      <c r="U2" s="199">
        <f>Sheet2!B14</f>
        <v>152000</v>
      </c>
      <c r="V2" s="199">
        <f>Sheet2!B15</f>
        <v>40000</v>
      </c>
      <c r="W2" s="193"/>
      <c r="X2" s="190"/>
      <c r="Y2" s="203" t="s">
        <v>50</v>
      </c>
      <c r="Z2" s="203">
        <v>0</v>
      </c>
      <c r="AA2" s="203">
        <v>0</v>
      </c>
      <c r="AB2" s="203">
        <v>0</v>
      </c>
      <c r="AC2" s="203">
        <v>500</v>
      </c>
      <c r="AD2" s="203">
        <v>1000</v>
      </c>
      <c r="AE2" s="203">
        <v>0</v>
      </c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491"/>
      <c r="AU2" s="190"/>
      <c r="AV2" s="490" t="s">
        <v>43</v>
      </c>
      <c r="AW2" s="475" t="s">
        <v>62</v>
      </c>
      <c r="AX2" s="475" t="s">
        <v>399</v>
      </c>
      <c r="AY2" s="475" t="s">
        <v>64</v>
      </c>
      <c r="AZ2" s="475" t="s">
        <v>400</v>
      </c>
      <c r="BA2" s="475" t="s">
        <v>401</v>
      </c>
      <c r="BC2" s="405" t="s">
        <v>402</v>
      </c>
      <c r="BD2" s="405"/>
      <c r="BE2" s="405" t="s">
        <v>403</v>
      </c>
      <c r="BG2" s="624"/>
      <c r="BH2" s="625"/>
      <c r="BI2" s="626"/>
      <c r="BJ2" s="209"/>
      <c r="BK2" s="210"/>
      <c r="BL2" s="194">
        <f>BJ2*BK2</f>
        <v>0</v>
      </c>
      <c r="BM2" s="214" t="e">
        <f>BM72/BL2</f>
        <v>#DIV/0!</v>
      </c>
      <c r="BN2" s="217">
        <f>Sheet2!AW12</f>
        <v>0</v>
      </c>
      <c r="BO2" s="200">
        <f>Sheet2!AW13</f>
        <v>0</v>
      </c>
      <c r="BP2" s="199">
        <f>Sheet2!AW14</f>
        <v>0</v>
      </c>
      <c r="BQ2" s="199">
        <f>Sheet2!AW15</f>
        <v>0</v>
      </c>
      <c r="BR2" s="193"/>
      <c r="BS2" s="190"/>
      <c r="BT2" s="203" t="s">
        <v>50</v>
      </c>
      <c r="BU2" s="203">
        <v>0</v>
      </c>
      <c r="BV2" s="203">
        <v>0</v>
      </c>
      <c r="BW2" s="203">
        <v>0</v>
      </c>
      <c r="BX2" s="203">
        <v>500</v>
      </c>
      <c r="BY2" s="203">
        <v>1000</v>
      </c>
      <c r="BZ2" s="203">
        <v>0</v>
      </c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491"/>
    </row>
    <row r="3" ht="21.75">
      <c r="A3" s="490" t="s">
        <v>404</v>
      </c>
      <c r="B3" s="476">
        <f>ROUNDUP((12+((ROUNDUP((D1-210),15))/15)),0)</f>
        <v>32</v>
      </c>
      <c r="C3" s="477">
        <f>F1-16.5</f>
        <v>383.5</v>
      </c>
      <c r="D3" s="475" t="s">
        <v>405</v>
      </c>
      <c r="E3" s="475">
        <v>2.5</v>
      </c>
      <c r="F3" s="475">
        <f>IF((تسعير!$AT$26="سادة"),(J3*H3*E3*(Sheet2!$B$14+12000)/1000),(J3*H3*E3*(Sheet2!$B$14+Sheet2!$B$15)/1000))</f>
        <v>52480</v>
      </c>
      <c r="H3" s="474">
        <f>IF(AND((C3&gt;=150),(C3&lt;201)),4,IF(AND((C3&gt;=201),(C3&lt;251)),5,IF(AND((C3&gt;=251),(C3&lt;401)),4,IF(AND((C3&gt;=401),(C3&lt;501)),5,0))))</f>
        <v>4</v>
      </c>
      <c r="I3" s="479">
        <f>(H3*100)/C3</f>
        <v>1.0430247718383312</v>
      </c>
      <c r="J3" s="10">
        <f>B3/(ROUNDDOWN(I3,0))</f>
        <v>32</v>
      </c>
      <c r="L3" s="627" t="s">
        <v>51</v>
      </c>
      <c r="M3" s="628"/>
      <c r="N3" s="395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190"/>
      <c r="P3" s="190"/>
      <c r="Q3" s="211" t="s">
        <v>52</v>
      </c>
      <c r="R3" s="631">
        <f>NOW()</f>
        <v>45133.622111550925</v>
      </c>
      <c r="S3" s="632"/>
      <c r="T3" s="632"/>
      <c r="U3" s="216"/>
      <c r="V3" s="216"/>
      <c r="W3" s="216"/>
      <c r="X3" s="190"/>
      <c r="Y3" s="203" t="s">
        <v>53</v>
      </c>
      <c r="Z3" s="203">
        <v>60</v>
      </c>
      <c r="AA3" s="203">
        <v>120</v>
      </c>
      <c r="AB3" s="203">
        <v>75</v>
      </c>
      <c r="AC3" s="203">
        <v>900</v>
      </c>
      <c r="AD3" s="203">
        <v>1600</v>
      </c>
      <c r="AE3" s="203">
        <v>300</v>
      </c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491"/>
      <c r="AU3" s="190"/>
      <c r="AV3" s="490" t="s">
        <v>404</v>
      </c>
      <c r="AW3" s="476">
        <f>ROUNDUP((12+((ROUNDUP((AY1-210),18))/18)),0)</f>
        <v>34</v>
      </c>
      <c r="AX3" s="477">
        <f>BA1-16.5</f>
        <v>233.5</v>
      </c>
      <c r="AY3" s="475" t="s">
        <v>405</v>
      </c>
      <c r="AZ3" s="475">
        <v>2</v>
      </c>
      <c r="BA3" s="475">
        <f>IF((تسعير!$AT$46="سادة"),(BE3*BC3*AZ3*(Sheet2!$B$14+12000)/1000),(BE3*BC3*AZ3*(Sheet2!$B$14+Sheet2!$B$15)/1000))</f>
        <v>32640</v>
      </c>
      <c r="BC3" s="535">
        <f>IF(AND((AX3&gt;=150),(AX3&lt;201)),4,IF(AND((AX3&gt;=201),(AX3&lt;251)),5,IF(AND((AX3&gt;=251),(AX3&lt;401)),4,IF(AND((AX3&gt;=401),(AX3&lt;501)),5,0))))</f>
        <v>5</v>
      </c>
      <c r="BD3" s="536">
        <f>(BC3*100)/AX3</f>
        <v>2.1413276231263385</v>
      </c>
      <c r="BE3" s="537">
        <f>AW3/(ROUNDDOWN(BD3,0))</f>
        <v>17</v>
      </c>
      <c r="BG3" s="627" t="s">
        <v>51</v>
      </c>
      <c r="BH3" s="628"/>
      <c r="BI3" s="395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A31</v>
      </c>
      <c r="BJ3" s="190"/>
      <c r="BK3" s="190"/>
      <c r="BL3" s="211" t="s">
        <v>52</v>
      </c>
      <c r="BM3" s="631">
        <f>NOW()</f>
        <v>45133.622111550925</v>
      </c>
      <c r="BN3" s="632"/>
      <c r="BO3" s="632"/>
      <c r="BP3" s="216"/>
      <c r="BQ3" s="216"/>
      <c r="BR3" s="216"/>
      <c r="BS3" s="190"/>
      <c r="BT3" s="203" t="s">
        <v>53</v>
      </c>
      <c r="BU3" s="203">
        <v>60</v>
      </c>
      <c r="BV3" s="203">
        <v>120</v>
      </c>
      <c r="BW3" s="203">
        <v>75</v>
      </c>
      <c r="BX3" s="203">
        <v>900</v>
      </c>
      <c r="BY3" s="203">
        <v>1600</v>
      </c>
      <c r="BZ3" s="203">
        <v>300</v>
      </c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491"/>
    </row>
    <row r="4" ht="18.75" s="383" customFormat="1">
      <c r="A4" s="490" t="s">
        <v>406</v>
      </c>
      <c r="B4" s="475">
        <v>2</v>
      </c>
      <c r="C4" s="476">
        <f>F1</f>
        <v>400</v>
      </c>
      <c r="D4" s="475" t="s">
        <v>405</v>
      </c>
      <c r="E4" s="475">
        <v>5.7</v>
      </c>
      <c r="F4" s="475">
        <f>IF((تسعير!$AT$26="سادة"),(J4*H4*E4*(Sheet2!$B$14+12000)/1000),(J4*H4*E4*(Sheet2!$B$14+Sheet2!$B$15)/1000))</f>
        <v>9348</v>
      </c>
      <c r="H4" s="474">
        <f ref="H4:H7" t="shared" si="0">IF(AND((C4&gt;=200),(C4&lt;350)),5,IF(AND((C4&gt;=350),(C4&lt;400)),7,IF(AND((C4&gt;=400),(C4&lt;501)),5,IF(AND((C4&gt;=501),(C4&lt;701)),7,0))))</f>
        <v>5</v>
      </c>
      <c r="I4" s="479">
        <f ref="I4:I8" t="shared" si="1">(H4*100)/C4</f>
        <v>1.25</v>
      </c>
      <c r="J4" s="10">
        <f ref="J4:J8" t="shared" si="2">B4/(ROUNDDOWN(I4,0))</f>
        <v>2</v>
      </c>
      <c r="K4" s="2"/>
      <c r="L4" s="191"/>
      <c r="M4" s="191"/>
      <c r="N4" s="197"/>
      <c r="O4" s="629" t="s">
        <v>54</v>
      </c>
      <c r="P4" s="629"/>
      <c r="Q4" s="629"/>
      <c r="R4" s="629"/>
      <c r="S4" s="629"/>
      <c r="T4" s="629"/>
      <c r="U4" s="198"/>
      <c r="V4" s="198"/>
      <c r="W4" s="198"/>
      <c r="X4" s="190"/>
      <c r="Y4" s="203" t="s">
        <v>55</v>
      </c>
      <c r="Z4" s="203">
        <v>120</v>
      </c>
      <c r="AA4" s="203">
        <v>200</v>
      </c>
      <c r="AB4" s="203">
        <v>75</v>
      </c>
      <c r="AC4" s="203">
        <v>1100</v>
      </c>
      <c r="AD4" s="203">
        <v>1800</v>
      </c>
      <c r="AE4" s="203">
        <v>100</v>
      </c>
      <c r="AF4" s="190" t="s">
        <v>56</v>
      </c>
      <c r="AG4" s="190"/>
      <c r="AH4" s="190"/>
      <c r="AI4" s="190"/>
      <c r="AJ4" s="190" t="s">
        <v>57</v>
      </c>
      <c r="AK4" s="190" t="s">
        <v>58</v>
      </c>
      <c r="AL4" s="190" t="s">
        <v>59</v>
      </c>
      <c r="AM4" s="190" t="s">
        <v>60</v>
      </c>
      <c r="AN4" s="190"/>
      <c r="AO4" s="190" t="s">
        <v>43</v>
      </c>
      <c r="AP4" s="190" t="s">
        <v>64</v>
      </c>
      <c r="AQ4" s="190" t="s">
        <v>133</v>
      </c>
      <c r="AR4" s="190" t="s">
        <v>60</v>
      </c>
      <c r="AS4" s="190" t="s">
        <v>285</v>
      </c>
      <c r="AT4" s="491"/>
      <c r="AU4" s="190"/>
      <c r="AV4" s="490" t="s">
        <v>407</v>
      </c>
      <c r="AW4" s="475">
        <v>2</v>
      </c>
      <c r="AX4" s="476">
        <f>BA1</f>
        <v>250</v>
      </c>
      <c r="AY4" s="475" t="s">
        <v>405</v>
      </c>
      <c r="AZ4" s="475">
        <v>1.7</v>
      </c>
      <c r="BA4" s="475">
        <f>IF((تسعير!$AT$46="سادة"),(BE4*BC4*AZ4*(Sheet2!$B$14+12000)/1000),(BE4*BC4*AZ4*(Sheet2!$B$14+Sheet2!$B$15)/1000))</f>
        <v>1632</v>
      </c>
      <c r="BC4" s="538">
        <f ref="BC4:BC5" t="shared" si="3">IF(AND((AX4&gt;=200),(AX4&lt;350)),5,IF(AND((AX4&gt;=350),(AX4&lt;400)),7,IF(AND((AX4&gt;=400),(AX4&lt;501)),5,IF(AND((AX4&gt;=501),(AX4&lt;701)),7,0))))</f>
        <v>5</v>
      </c>
      <c r="BD4" s="10">
        <f ref="BD4:BD5" t="shared" si="4">(BC4*100)/AX4</f>
        <v>2</v>
      </c>
      <c r="BE4" s="539">
        <f ref="BE4:BE5" t="shared" si="5">AW4/(ROUNDDOWN(BD4,0))</f>
        <v>1</v>
      </c>
      <c r="BG4" s="191"/>
      <c r="BH4" s="191"/>
      <c r="BI4" s="197"/>
      <c r="BJ4" s="629" t="s">
        <v>54</v>
      </c>
      <c r="BK4" s="629"/>
      <c r="BL4" s="629"/>
      <c r="BM4" s="629"/>
      <c r="BN4" s="629"/>
      <c r="BO4" s="629"/>
      <c r="BP4" s="198"/>
      <c r="BQ4" s="198"/>
      <c r="BR4" s="198"/>
      <c r="BS4" s="190"/>
      <c r="BT4" s="203" t="s">
        <v>55</v>
      </c>
      <c r="BU4" s="203">
        <v>120</v>
      </c>
      <c r="BV4" s="203">
        <v>200</v>
      </c>
      <c r="BW4" s="203">
        <v>75</v>
      </c>
      <c r="BX4" s="203">
        <v>1100</v>
      </c>
      <c r="BY4" s="203">
        <v>1800</v>
      </c>
      <c r="BZ4" s="203">
        <v>100</v>
      </c>
      <c r="CA4" s="190" t="s">
        <v>56</v>
      </c>
      <c r="CB4" s="190"/>
      <c r="CC4" s="190"/>
      <c r="CD4" s="190"/>
      <c r="CE4" s="190" t="s">
        <v>57</v>
      </c>
      <c r="CF4" s="190" t="s">
        <v>58</v>
      </c>
      <c r="CG4" s="190" t="s">
        <v>59</v>
      </c>
      <c r="CH4" s="190" t="s">
        <v>60</v>
      </c>
      <c r="CI4" s="190"/>
      <c r="CJ4" s="190" t="s">
        <v>43</v>
      </c>
      <c r="CK4" s="190" t="s">
        <v>64</v>
      </c>
      <c r="CL4" s="190" t="s">
        <v>133</v>
      </c>
      <c r="CM4" s="190" t="s">
        <v>60</v>
      </c>
      <c r="CN4" s="190" t="s">
        <v>285</v>
      </c>
      <c r="CO4" s="491"/>
    </row>
    <row r="5" ht="19.5" s="383" customFormat="1">
      <c r="A5" s="490" t="s">
        <v>408</v>
      </c>
      <c r="B5" s="475">
        <v>2</v>
      </c>
      <c r="C5" s="476">
        <f>D1</f>
        <v>500</v>
      </c>
      <c r="D5" s="475" t="s">
        <v>405</v>
      </c>
      <c r="E5" s="475">
        <v>5.7</v>
      </c>
      <c r="F5" s="475">
        <f>IF((تسعير!$AT$26="سادة"),(J5*H5*E5*(Sheet2!$B$14+12000)/1000),(J5*H5*E5*(Sheet2!$B$14+Sheet2!$B$15)/1000))</f>
        <v>9348</v>
      </c>
      <c r="H5" s="474">
        <f t="shared" si="0"/>
        <v>5</v>
      </c>
      <c r="I5" s="479">
        <f t="shared" si="1"/>
        <v>1</v>
      </c>
      <c r="J5" s="10">
        <f t="shared" si="2"/>
        <v>2</v>
      </c>
      <c r="K5" s="2"/>
      <c r="L5" s="191" t="s">
        <v>61</v>
      </c>
      <c r="M5" s="191" t="s">
        <v>62</v>
      </c>
      <c r="N5" s="189" t="s">
        <v>63</v>
      </c>
      <c r="O5" s="191" t="s">
        <v>64</v>
      </c>
      <c r="P5" s="191" t="s">
        <v>43</v>
      </c>
      <c r="Q5" s="191" t="s">
        <v>65</v>
      </c>
      <c r="R5" s="192" t="s">
        <v>66</v>
      </c>
      <c r="S5" s="192" t="s">
        <v>67</v>
      </c>
      <c r="T5" s="192" t="s">
        <v>409</v>
      </c>
      <c r="U5" s="192" t="s">
        <v>69</v>
      </c>
      <c r="V5" s="195" t="s">
        <v>70</v>
      </c>
      <c r="W5" s="192" t="s">
        <v>71</v>
      </c>
      <c r="X5" s="190"/>
      <c r="Y5" s="203" t="s">
        <v>72</v>
      </c>
      <c r="Z5" s="203">
        <v>100</v>
      </c>
      <c r="AA5" s="203">
        <v>250</v>
      </c>
      <c r="AB5" s="203">
        <v>75</v>
      </c>
      <c r="AC5" s="203">
        <v>1200</v>
      </c>
      <c r="AD5" s="203">
        <v>1800</v>
      </c>
      <c r="AE5" s="203">
        <v>100</v>
      </c>
      <c r="AF5" s="190" t="s">
        <v>73</v>
      </c>
      <c r="AG5" s="190"/>
      <c r="AH5" s="190"/>
      <c r="AI5" s="190"/>
      <c r="AJ5" s="193" t="s">
        <v>74</v>
      </c>
      <c r="AK5" s="193">
        <v>0.4</v>
      </c>
      <c r="AL5" s="192" t="s">
        <v>75</v>
      </c>
      <c r="AM5" s="203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190"/>
      <c r="AO5" s="190" t="s">
        <v>287</v>
      </c>
      <c r="AP5" s="190">
        <v>0.03</v>
      </c>
      <c r="AQ5" s="190">
        <v>0.03</v>
      </c>
      <c r="AR5" s="190"/>
      <c r="AS5" s="190"/>
      <c r="AT5" s="491"/>
      <c r="AU5" s="190"/>
      <c r="AV5" s="490" t="s">
        <v>408</v>
      </c>
      <c r="AW5" s="475">
        <v>2</v>
      </c>
      <c r="AX5" s="476">
        <f>AY1</f>
        <v>600</v>
      </c>
      <c r="AY5" s="475" t="s">
        <v>405</v>
      </c>
      <c r="AZ5" s="475">
        <v>1.7</v>
      </c>
      <c r="BA5" s="475">
        <f>IF((تسعير!$AT$46="سادة"),(BE5*BC5*AZ5*(Sheet2!$B$14+12000)/1000),(BE5*BC5*AZ5*(Sheet2!$B$14+Sheet2!$B$15)/1000))</f>
        <v>4569.6</v>
      </c>
      <c r="BC5" s="540">
        <f t="shared" si="3"/>
        <v>7</v>
      </c>
      <c r="BD5" s="541">
        <f t="shared" si="4"/>
        <v>1.1666666666666667</v>
      </c>
      <c r="BE5" s="542">
        <f t="shared" si="5"/>
        <v>2</v>
      </c>
      <c r="BG5" s="191" t="s">
        <v>61</v>
      </c>
      <c r="BH5" s="191" t="s">
        <v>62</v>
      </c>
      <c r="BI5" s="189" t="s">
        <v>63</v>
      </c>
      <c r="BJ5" s="191" t="s">
        <v>64</v>
      </c>
      <c r="BK5" s="191" t="s">
        <v>43</v>
      </c>
      <c r="BL5" s="191" t="s">
        <v>65</v>
      </c>
      <c r="BM5" s="192" t="s">
        <v>66</v>
      </c>
      <c r="BN5" s="192" t="s">
        <v>67</v>
      </c>
      <c r="BO5" s="192" t="s">
        <v>409</v>
      </c>
      <c r="BP5" s="192" t="s">
        <v>69</v>
      </c>
      <c r="BQ5" s="195" t="s">
        <v>70</v>
      </c>
      <c r="BR5" s="192" t="s">
        <v>71</v>
      </c>
      <c r="BS5" s="190"/>
      <c r="BT5" s="203" t="s">
        <v>72</v>
      </c>
      <c r="BU5" s="203">
        <v>100</v>
      </c>
      <c r="BV5" s="203">
        <v>250</v>
      </c>
      <c r="BW5" s="203">
        <v>75</v>
      </c>
      <c r="BX5" s="203">
        <v>1200</v>
      </c>
      <c r="BY5" s="203">
        <v>1800</v>
      </c>
      <c r="BZ5" s="203">
        <v>100</v>
      </c>
      <c r="CA5" s="190" t="s">
        <v>73</v>
      </c>
      <c r="CB5" s="190"/>
      <c r="CC5" s="190"/>
      <c r="CD5" s="190"/>
      <c r="CE5" s="193" t="s">
        <v>74</v>
      </c>
      <c r="CF5" s="193">
        <v>0.4</v>
      </c>
      <c r="CG5" s="192" t="s">
        <v>75</v>
      </c>
      <c r="CH5" s="203">
        <f>IF((تسعير!AT45="A"),IF(((Table1588090[[#Totals],[المسطح]]+Table16627383[[#Totals],[Column12]])&gt;0),(Table1588090[[#Totals],[المسطح]]+Table16627383[[#Totals],[Column12]]-BL10+1)*Table6637484[[#This Row],[المعدل]]),0)</f>
        <v>9.6000000000000014</v>
      </c>
      <c r="CI5" s="190"/>
      <c r="CJ5" s="190" t="s">
        <v>287</v>
      </c>
      <c r="CK5" s="190">
        <v>0.03</v>
      </c>
      <c r="CL5" s="190">
        <v>0.03</v>
      </c>
      <c r="CM5" s="190"/>
      <c r="CN5" s="190"/>
      <c r="CO5" s="491"/>
    </row>
    <row r="6" ht="18.75" s="383" customFormat="1">
      <c r="A6" s="490" t="s">
        <v>410</v>
      </c>
      <c r="B6" s="475">
        <v>2</v>
      </c>
      <c r="C6" s="476">
        <f>F1</f>
        <v>400</v>
      </c>
      <c r="D6" s="475" t="s">
        <v>405</v>
      </c>
      <c r="E6" s="475">
        <v>1.7</v>
      </c>
      <c r="F6" s="475">
        <f>IF((تسعير!$AT$26="سادة"),(J6*H6*E6*(Sheet2!$B$14+12000)/1000),(J6*H6*E6*(Sheet2!$B$14+Sheet2!$B$15)/1000))</f>
        <v>2788</v>
      </c>
      <c r="H6" s="474">
        <f t="shared" si="0"/>
        <v>5</v>
      </c>
      <c r="I6" s="479">
        <f t="shared" si="1"/>
        <v>1.25</v>
      </c>
      <c r="J6" s="10">
        <f t="shared" si="2"/>
        <v>2</v>
      </c>
      <c r="K6" s="2"/>
      <c r="L6" s="492">
        <v>1</v>
      </c>
      <c r="M6" s="493">
        <f>IF(OR((N3="a11"),(N3="a112"),(N3="a21"),(N3="a22"),(N3="a31"),(N3="a32")),1,2)</f>
        <v>1</v>
      </c>
      <c r="N6" s="494" t="s">
        <v>411</v>
      </c>
      <c r="O6" s="495">
        <v>0.15</v>
      </c>
      <c r="P6" s="495">
        <v>0.15</v>
      </c>
      <c r="Q6" s="205">
        <f>(Table15880[[#This Row],[Column1]]+Table15880[[#This Row],[Column2]])*12*Table15880[[#This Row],[عدد]]</f>
        <v>3.5999999999999996</v>
      </c>
      <c r="R6" s="492"/>
      <c r="S6" s="492">
        <v>57</v>
      </c>
      <c r="T6" s="492">
        <f>Table15880[[#This Row],[المسطح]]*Table15880[[#This Row],[عدد]]</f>
        <v>3.5999999999999996</v>
      </c>
      <c r="U6" s="496">
        <f>S6*$S$2/1000</f>
        <v>2622</v>
      </c>
      <c r="V6" s="497">
        <f>M6*U6</f>
        <v>2622</v>
      </c>
      <c r="W6" s="222">
        <f>(V6)/$R$71</f>
        <v>0.016689012035947443</v>
      </c>
      <c r="X6" s="203"/>
      <c r="Y6" s="203" t="s">
        <v>78</v>
      </c>
      <c r="Z6" s="203">
        <v>100</v>
      </c>
      <c r="AA6" s="203">
        <v>100</v>
      </c>
      <c r="AB6" s="203">
        <v>75</v>
      </c>
      <c r="AC6" s="203">
        <v>1250</v>
      </c>
      <c r="AD6" s="203">
        <v>1800</v>
      </c>
      <c r="AE6" s="203">
        <v>100</v>
      </c>
      <c r="AF6" s="203"/>
      <c r="AG6" s="203"/>
      <c r="AH6" s="203"/>
      <c r="AI6" s="203"/>
      <c r="AJ6" s="203" t="s">
        <v>79</v>
      </c>
      <c r="AK6" s="203">
        <v>0.25</v>
      </c>
      <c r="AL6" s="203" t="s">
        <v>80</v>
      </c>
      <c r="AM6" s="203">
        <f>AM5*Table66374[[#This Row],[المعدل]]+4</f>
        <v>6.7120000000000006</v>
      </c>
      <c r="AN6" s="203"/>
      <c r="AO6" s="203" t="s">
        <v>289</v>
      </c>
      <c r="AP6" s="203">
        <v>0.05</v>
      </c>
      <c r="AQ6" s="203">
        <v>0.05</v>
      </c>
      <c r="AR6" s="203"/>
      <c r="AS6" s="203"/>
      <c r="AT6" s="498"/>
      <c r="AU6" s="203"/>
      <c r="AV6" s="490" t="s">
        <v>412</v>
      </c>
      <c r="AW6" s="475">
        <v>1</v>
      </c>
      <c r="AX6" s="475">
        <f>(15.6*(AW3-1)+4)</f>
        <v>518.8</v>
      </c>
      <c r="AY6" s="475" t="s">
        <v>405</v>
      </c>
      <c r="AZ6" s="475">
        <v>600</v>
      </c>
      <c r="BA6" s="475">
        <f>AZ6*AW6</f>
        <v>600</v>
      </c>
      <c r="BC6" s="385"/>
      <c r="BD6" s="2"/>
      <c r="BE6" s="2"/>
      <c r="BG6" s="492">
        <v>1</v>
      </c>
      <c r="BH6" s="493">
        <f>IF(OR((BI3="a11"),(BI3="a112"),(BI3="a21"),(BI3="a22"),(BI3="a31"),(BI3="a32")),1,2)</f>
        <v>1</v>
      </c>
      <c r="BI6" s="494" t="s">
        <v>413</v>
      </c>
      <c r="BJ6" s="495">
        <v>0.15</v>
      </c>
      <c r="BK6" s="495">
        <v>0.15</v>
      </c>
      <c r="BL6" s="205">
        <f>(Table1588090[[#This Row],[Column1]]+Table1588090[[#This Row],[Column2]])*12*Table1588090[[#This Row],[عدد]]</f>
        <v>3.5999999999999996</v>
      </c>
      <c r="BM6" s="492"/>
      <c r="BN6" s="492">
        <v>57</v>
      </c>
      <c r="BO6" s="492">
        <f>Table1588090[[#This Row],[المسطح]]*Table1588090[[#This Row],[عدد]]</f>
        <v>3.5999999999999996</v>
      </c>
      <c r="BP6" s="496">
        <f>BN6*$S$2/1000</f>
        <v>2622</v>
      </c>
      <c r="BQ6" s="497">
        <f>BH6*BP6</f>
        <v>2622</v>
      </c>
      <c r="BR6" s="222">
        <f>(BQ6)/$R$71</f>
        <v>0.016689012035947443</v>
      </c>
      <c r="BS6" s="203"/>
      <c r="BT6" s="203" t="s">
        <v>78</v>
      </c>
      <c r="BU6" s="203">
        <v>100</v>
      </c>
      <c r="BV6" s="203">
        <v>100</v>
      </c>
      <c r="BW6" s="203">
        <v>75</v>
      </c>
      <c r="BX6" s="203">
        <v>1250</v>
      </c>
      <c r="BY6" s="203">
        <v>1800</v>
      </c>
      <c r="BZ6" s="203">
        <v>100</v>
      </c>
      <c r="CA6" s="203"/>
      <c r="CB6" s="203"/>
      <c r="CC6" s="203"/>
      <c r="CD6" s="203"/>
      <c r="CE6" s="203" t="s">
        <v>79</v>
      </c>
      <c r="CF6" s="203">
        <v>0.25</v>
      </c>
      <c r="CG6" s="203" t="s">
        <v>80</v>
      </c>
      <c r="CH6" s="203">
        <f>CH5*Table6637484[[#This Row],[المعدل]]+4</f>
        <v>6.4</v>
      </c>
      <c r="CI6" s="203"/>
      <c r="CJ6" s="203" t="s">
        <v>289</v>
      </c>
      <c r="CK6" s="203">
        <v>0.05</v>
      </c>
      <c r="CL6" s="203">
        <v>0.05</v>
      </c>
      <c r="CM6" s="203"/>
      <c r="CN6" s="203"/>
      <c r="CO6" s="498"/>
    </row>
    <row r="7" ht="18.75" s="383" customFormat="1">
      <c r="A7" s="490" t="s">
        <v>414</v>
      </c>
      <c r="B7" s="475">
        <v>2</v>
      </c>
      <c r="C7" s="476">
        <f>D1</f>
        <v>500</v>
      </c>
      <c r="D7" s="475" t="s">
        <v>405</v>
      </c>
      <c r="E7" s="475">
        <v>1.7</v>
      </c>
      <c r="F7" s="475">
        <f>IF((تسعير!$AT$26="سادة"),(J7*H7*E7*(Sheet2!$B$14+12000)/1000),(J7*H7*E7*(Sheet2!$B$14+Sheet2!$B$15)/1000))</f>
        <v>2788</v>
      </c>
      <c r="H7" s="474">
        <f t="shared" si="0"/>
        <v>5</v>
      </c>
      <c r="I7" s="479">
        <f t="shared" si="1"/>
        <v>1</v>
      </c>
      <c r="J7" s="10">
        <f t="shared" si="2"/>
        <v>2</v>
      </c>
      <c r="K7" s="2"/>
      <c r="L7" s="492">
        <v>2</v>
      </c>
      <c r="M7" s="493">
        <f>IF((N3="A11"),2,IF((N3="A12"),3,IF((N3="A21"),3,IF((N3="A22"),4,IF((N3="B11"),2,IF((N3="B12"),3,IF((N3="B21"),3,IF((N3="B22"),4,IF((N3="A31"),3,IF((N3="A32"),4,IF((N3="B31"),3,IF((N3="B32"),4,0))))))))))))</f>
        <v>4</v>
      </c>
      <c r="N7" s="494" t="s">
        <v>415</v>
      </c>
      <c r="O7" s="495">
        <v>0.05</v>
      </c>
      <c r="P7" s="495">
        <v>0.15</v>
      </c>
      <c r="Q7" s="205">
        <f>(Table15880[[#This Row],[Column1]]+Table15880[[#This Row],[Column2]])*12*Table15880[[#This Row],[عدد]]</f>
        <v>9.6000000000000014</v>
      </c>
      <c r="R7" s="492"/>
      <c r="S7" s="492">
        <v>37</v>
      </c>
      <c r="T7" s="492">
        <f>Table15880[[#This Row],[المسطح]]*Table15880[[#This Row],[عدد]]</f>
        <v>38.400000000000006</v>
      </c>
      <c r="U7" s="496">
        <f>S7*$S$2/1000</f>
        <v>1702</v>
      </c>
      <c r="V7" s="497">
        <f>M7*U7</f>
        <v>6808</v>
      </c>
      <c r="W7" s="222">
        <f>(V7)/$R$71</f>
        <v>0.043332873356495112</v>
      </c>
      <c r="X7" s="203"/>
      <c r="Y7" s="203" t="s">
        <v>82</v>
      </c>
      <c r="Z7" s="203">
        <v>75</v>
      </c>
      <c r="AA7" s="203">
        <v>100</v>
      </c>
      <c r="AB7" s="203">
        <v>75</v>
      </c>
      <c r="AC7" s="203">
        <v>1500</v>
      </c>
      <c r="AD7" s="203">
        <v>3000</v>
      </c>
      <c r="AE7" s="203">
        <v>250</v>
      </c>
      <c r="AF7" s="203"/>
      <c r="AG7" s="203"/>
      <c r="AH7" s="203"/>
      <c r="AI7" s="203"/>
      <c r="AJ7" s="203" t="s">
        <v>83</v>
      </c>
      <c r="AK7" s="203">
        <v>0.25</v>
      </c>
      <c r="AL7" s="205" t="s">
        <v>84</v>
      </c>
      <c r="AM7" s="203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03"/>
      <c r="AO7" s="203" t="s">
        <v>292</v>
      </c>
      <c r="AP7" s="203">
        <v>0.07</v>
      </c>
      <c r="AQ7" s="203">
        <v>0.07</v>
      </c>
      <c r="AR7" s="203"/>
      <c r="AS7" s="203"/>
      <c r="AT7" s="498"/>
      <c r="AU7" s="203"/>
      <c r="AV7" s="490" t="s">
        <v>416</v>
      </c>
      <c r="AW7" s="475"/>
      <c r="AX7" s="475">
        <f>AW3*2</f>
        <v>68</v>
      </c>
      <c r="AY7" s="475" t="s">
        <v>62</v>
      </c>
      <c r="AZ7" s="475">
        <v>17</v>
      </c>
      <c r="BA7" s="475">
        <f>AZ7*AX7</f>
        <v>1156</v>
      </c>
      <c r="BC7" s="385"/>
      <c r="BD7" s="2"/>
      <c r="BE7" s="2"/>
      <c r="BG7" s="492">
        <v>2</v>
      </c>
      <c r="BH7" s="493">
        <f>IF((BI3="A11"),2,IF((BI3="A12"),3,IF((BI3="A21"),3,IF((BI3="A22"),4,IF((BI3="B11"),2,IF((BI3="B12"),3,IF((BI3="B21"),3,IF((BI3="B22"),4,IF((BI3="A31"),3,IF((BI3="A32"),4,IF((BI3="B31"),3,IF((BI3="B32"),4,0))))))))))))</f>
        <v>3</v>
      </c>
      <c r="BI7" s="494" t="s">
        <v>415</v>
      </c>
      <c r="BJ7" s="495">
        <v>0.05</v>
      </c>
      <c r="BK7" s="495">
        <v>0.15</v>
      </c>
      <c r="BL7" s="205">
        <f>(Table1588090[[#This Row],[Column1]]+Table1588090[[#This Row],[Column2]])*12*Table1588090[[#This Row],[عدد]]</f>
        <v>7.2000000000000011</v>
      </c>
      <c r="BM7" s="492"/>
      <c r="BN7" s="492">
        <v>37</v>
      </c>
      <c r="BO7" s="492">
        <f>Table1588090[[#This Row],[المسطح]]*Table1588090[[#This Row],[عدد]]</f>
        <v>21.6</v>
      </c>
      <c r="BP7" s="496">
        <f>BN7*$S$2/1000</f>
        <v>1702</v>
      </c>
      <c r="BQ7" s="497">
        <f>BH7*BP7</f>
        <v>5106</v>
      </c>
      <c r="BR7" s="222">
        <f>(BQ7)/$R$71</f>
        <v>0.032499655017371336</v>
      </c>
      <c r="BS7" s="203"/>
      <c r="BT7" s="203" t="s">
        <v>82</v>
      </c>
      <c r="BU7" s="203">
        <v>75</v>
      </c>
      <c r="BV7" s="203">
        <v>100</v>
      </c>
      <c r="BW7" s="203">
        <v>75</v>
      </c>
      <c r="BX7" s="203">
        <v>1500</v>
      </c>
      <c r="BY7" s="203">
        <v>3000</v>
      </c>
      <c r="BZ7" s="203">
        <v>250</v>
      </c>
      <c r="CA7" s="203"/>
      <c r="CB7" s="203"/>
      <c r="CC7" s="203"/>
      <c r="CD7" s="203"/>
      <c r="CE7" s="203" t="s">
        <v>83</v>
      </c>
      <c r="CF7" s="203">
        <v>0.25</v>
      </c>
      <c r="CG7" s="205" t="s">
        <v>84</v>
      </c>
      <c r="CH7" s="203">
        <f>IF((تسعير!AT45="A"),IF(((Table1588090[[#Totals],[المسطح]]+Table16627383[[#Totals],[Column12]])&gt;0),(Table1588090[[#Totals],[المسطح]]+Table16627383[[#Totals],[Column12]]+1)*Table6637484[[#This Row],[المعدل]]),0)</f>
        <v>6</v>
      </c>
      <c r="CI7" s="203"/>
      <c r="CJ7" s="203" t="s">
        <v>292</v>
      </c>
      <c r="CK7" s="203">
        <v>0.07</v>
      </c>
      <c r="CL7" s="203">
        <v>0.07</v>
      </c>
      <c r="CM7" s="203"/>
      <c r="CN7" s="203"/>
      <c r="CO7" s="498"/>
    </row>
    <row r="8" ht="18.75" s="383" customFormat="1">
      <c r="A8" s="490" t="s">
        <v>417</v>
      </c>
      <c r="B8" s="475">
        <v>2</v>
      </c>
      <c r="C8" s="475">
        <f>C3</f>
        <v>383.5</v>
      </c>
      <c r="D8" s="475" t="s">
        <v>405</v>
      </c>
      <c r="E8" s="475">
        <v>0.8</v>
      </c>
      <c r="F8" s="475">
        <f>IF((تسعير!$AT$26="سادة"),(J8*H8*E8*(Sheet2!$B$14+12000)/1000),(J8*H8*E8*(Sheet2!$B$14+Sheet2!$B$15)/1000))</f>
        <v>1049.6</v>
      </c>
      <c r="H8" s="474">
        <f>IF(AND((C8&gt;=150),(C8&lt;201)),4,IF(AND((C8&gt;=201),(C8&lt;251)),5,IF(AND((C8&gt;=251),(C8&lt;401)),4,IF(AND((C8&gt;=401),(C8&lt;501)),5,0))))</f>
        <v>4</v>
      </c>
      <c r="I8" s="479">
        <f t="shared" si="1"/>
        <v>1.0430247718383312</v>
      </c>
      <c r="J8" s="10">
        <f t="shared" si="2"/>
        <v>2</v>
      </c>
      <c r="K8" s="2"/>
      <c r="L8" s="492">
        <v>3</v>
      </c>
      <c r="M8" s="493">
        <f>IF((N3="A11"),2,IF((N3="A12"),3,IF((N3="A21"),3,IF((N3="A22"),4,IF((N3="B11"),2,IF((N3="B12"),3,IF((N3="B21"),3,IF((N3="B22"),4,IF((N3="A31"),3,IF((N3="A32"),4,IF((N3="B31"),3,IF((N3="B32"),4,0))))))))))))</f>
        <v>4</v>
      </c>
      <c r="N8" s="219" t="s">
        <v>418</v>
      </c>
      <c r="O8" s="495">
        <v>0.03</v>
      </c>
      <c r="P8" s="495">
        <v>0.03</v>
      </c>
      <c r="Q8" s="205">
        <f>(Table15880[[#This Row],[Column1]]+Table15880[[#This Row],[Column2]])*12*Table15880[[#This Row],[عدد]]</f>
        <v>2.88</v>
      </c>
      <c r="R8" s="492"/>
      <c r="S8" s="492">
        <v>5</v>
      </c>
      <c r="T8" s="492">
        <f>Table15880[[#This Row],[المسطح]]*Table15880[[#This Row],[عدد]]</f>
        <v>11.52</v>
      </c>
      <c r="U8" s="496">
        <f>S8*$S$2/1000</f>
        <v>230</v>
      </c>
      <c r="V8" s="497">
        <f>M8*U8</f>
        <v>920</v>
      </c>
      <c r="W8" s="222">
        <f>(V8)/$R$71</f>
        <v>0.0058557936968236645</v>
      </c>
      <c r="X8" s="203"/>
      <c r="Y8" s="203" t="s">
        <v>86</v>
      </c>
      <c r="Z8" s="203">
        <v>30</v>
      </c>
      <c r="AA8" s="203">
        <v>30</v>
      </c>
      <c r="AB8" s="203">
        <v>75</v>
      </c>
      <c r="AC8" s="203">
        <v>600</v>
      </c>
      <c r="AD8" s="203">
        <v>1100</v>
      </c>
      <c r="AE8" s="203">
        <v>150</v>
      </c>
      <c r="AF8" s="203"/>
      <c r="AG8" s="203"/>
      <c r="AH8" s="203"/>
      <c r="AI8" s="203"/>
      <c r="AJ8" s="203" t="s">
        <v>87</v>
      </c>
      <c r="AK8" s="203">
        <v>0.4</v>
      </c>
      <c r="AL8" s="205" t="s">
        <v>84</v>
      </c>
      <c r="AM8" s="203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03"/>
      <c r="AO8" s="203" t="s">
        <v>294</v>
      </c>
      <c r="AP8" s="203">
        <v>0.1</v>
      </c>
      <c r="AQ8" s="203">
        <v>0.1</v>
      </c>
      <c r="AR8" s="203"/>
      <c r="AS8" s="203"/>
      <c r="AT8" s="498"/>
      <c r="AU8" s="203"/>
      <c r="AV8" s="490" t="s">
        <v>419</v>
      </c>
      <c r="AW8" s="475"/>
      <c r="AX8" s="475">
        <f>AW3*2</f>
        <v>68</v>
      </c>
      <c r="AY8" s="475" t="s">
        <v>62</v>
      </c>
      <c r="AZ8" s="475">
        <v>12</v>
      </c>
      <c r="BA8" s="475">
        <f>AZ8*AX8</f>
        <v>816</v>
      </c>
      <c r="BC8" s="385"/>
      <c r="BD8" s="2"/>
      <c r="BE8" s="2"/>
      <c r="BG8" s="492">
        <v>3</v>
      </c>
      <c r="BH8" s="493">
        <f>IF((BI3="A11"),2,IF((BI3="A12"),3,IF((BI3="A21"),3,IF((BI3="A22"),4,IF((BI3="B11"),2,IF((BI3="B12"),3,IF((BI3="B21"),3,IF((BI3="B22"),4,IF((BI3="A31"),3,IF((BI3="A32"),4,IF((BI3="B31"),3,IF((BI3="B32"),4,0))))))))))))</f>
        <v>3</v>
      </c>
      <c r="BI8" s="219" t="s">
        <v>418</v>
      </c>
      <c r="BJ8" s="495">
        <v>0.03</v>
      </c>
      <c r="BK8" s="495">
        <v>0.03</v>
      </c>
      <c r="BL8" s="205">
        <f>(Table1588090[[#This Row],[Column1]]+Table1588090[[#This Row],[Column2]])*12*Table1588090[[#This Row],[عدد]]</f>
        <v>2.16</v>
      </c>
      <c r="BM8" s="492"/>
      <c r="BN8" s="492">
        <v>5</v>
      </c>
      <c r="BO8" s="492">
        <f>Table1588090[[#This Row],[المسطح]]*Table1588090[[#This Row],[عدد]]</f>
        <v>6.48</v>
      </c>
      <c r="BP8" s="496">
        <f>BN8*$S$2/1000</f>
        <v>230</v>
      </c>
      <c r="BQ8" s="497">
        <f>BH8*BP8</f>
        <v>690</v>
      </c>
      <c r="BR8" s="222">
        <f>(BQ8)/$R$71</f>
        <v>0.0043918452726177479</v>
      </c>
      <c r="BS8" s="203"/>
      <c r="BT8" s="203" t="s">
        <v>86</v>
      </c>
      <c r="BU8" s="203">
        <v>30</v>
      </c>
      <c r="BV8" s="203">
        <v>30</v>
      </c>
      <c r="BW8" s="203">
        <v>75</v>
      </c>
      <c r="BX8" s="203">
        <v>600</v>
      </c>
      <c r="BY8" s="203">
        <v>1100</v>
      </c>
      <c r="BZ8" s="203">
        <v>150</v>
      </c>
      <c r="CA8" s="203"/>
      <c r="CB8" s="203"/>
      <c r="CC8" s="203"/>
      <c r="CD8" s="203"/>
      <c r="CE8" s="203" t="s">
        <v>87</v>
      </c>
      <c r="CF8" s="203">
        <v>0.4</v>
      </c>
      <c r="CG8" s="205" t="s">
        <v>84</v>
      </c>
      <c r="CH8" s="203">
        <f>IF((تسعير!AT45="A"),IF(((Table1588090[[#Totals],[المسطح]]+Table16627383[[#Totals],[Column12]])&gt;0),(Table1588090[[#Totals],[المسطح]]+Table16627383[[#Totals],[Column12]]-BL10+1)*Table6637484[[#This Row],[المعدل]]),0)</f>
        <v>9.6000000000000014</v>
      </c>
      <c r="CI8" s="203"/>
      <c r="CJ8" s="203" t="s">
        <v>294</v>
      </c>
      <c r="CK8" s="203">
        <v>0.1</v>
      </c>
      <c r="CL8" s="203">
        <v>0.1</v>
      </c>
      <c r="CM8" s="203"/>
      <c r="CN8" s="203"/>
      <c r="CO8" s="498"/>
    </row>
    <row r="9" ht="18.75" s="383" customFormat="1">
      <c r="A9" s="490" t="s">
        <v>412</v>
      </c>
      <c r="B9" s="475">
        <v>2</v>
      </c>
      <c r="C9" s="475">
        <f>(15.6*(B3-1)+4)</f>
        <v>487.59999999999997</v>
      </c>
      <c r="D9" s="475" t="s">
        <v>405</v>
      </c>
      <c r="E9" s="475">
        <v>600</v>
      </c>
      <c r="F9" s="475">
        <f>E9*B9</f>
        <v>1200</v>
      </c>
      <c r="H9" s="788">
        <f>(J3*H3*E3)+(J4*H4*E4)+(J5*H5*E5)+(J6*H6*E6)+(J7*H7*E7)+(J8*H8*E8)</f>
        <v>474.4</v>
      </c>
      <c r="I9" s="789"/>
      <c r="J9" s="790"/>
      <c r="L9" s="492">
        <v>5</v>
      </c>
      <c r="M9" s="493">
        <v>0</v>
      </c>
      <c r="N9" s="494" t="s">
        <v>413</v>
      </c>
      <c r="O9" s="495">
        <v>0.15</v>
      </c>
      <c r="P9" s="495">
        <v>0.15</v>
      </c>
      <c r="Q9" s="205">
        <f>(Table15880[[#This Row],[Column1]]+Table15880[[#This Row],[Column2]])*12*Table15880[[#This Row],[عدد]]</f>
        <v>0</v>
      </c>
      <c r="R9" s="492"/>
      <c r="S9" s="492">
        <v>84</v>
      </c>
      <c r="T9" s="492">
        <f>Table15880[[#This Row],[المسطح]]*Table15880[[#This Row],[عدد]]</f>
        <v>0</v>
      </c>
      <c r="U9" s="496">
        <f>S9*$S$2/1000</f>
        <v>3864</v>
      </c>
      <c r="V9" s="497">
        <f>M9*U9</f>
        <v>0</v>
      </c>
      <c r="W9" s="222">
        <f>(V9)/$R$71</f>
        <v>0</v>
      </c>
      <c r="X9" s="203"/>
      <c r="Y9" s="203" t="s">
        <v>89</v>
      </c>
      <c r="Z9" s="203">
        <v>50</v>
      </c>
      <c r="AA9" s="203">
        <v>50</v>
      </c>
      <c r="AB9" s="203">
        <v>75</v>
      </c>
      <c r="AC9" s="203">
        <v>900</v>
      </c>
      <c r="AD9" s="203">
        <v>1600</v>
      </c>
      <c r="AE9" s="203">
        <v>150</v>
      </c>
      <c r="AF9" s="203"/>
      <c r="AG9" s="203"/>
      <c r="AH9" s="203"/>
      <c r="AI9" s="203"/>
      <c r="AJ9" s="203" t="s">
        <v>90</v>
      </c>
      <c r="AK9" s="203"/>
      <c r="AL9" s="203" t="s">
        <v>91</v>
      </c>
      <c r="AM9" s="203"/>
      <c r="AN9" s="203"/>
      <c r="AO9" s="203" t="s">
        <v>296</v>
      </c>
      <c r="AP9" s="203">
        <v>0.15</v>
      </c>
      <c r="AQ9" s="203">
        <v>0.15</v>
      </c>
      <c r="AR9" s="203"/>
      <c r="AS9" s="203"/>
      <c r="AT9" s="498"/>
      <c r="AU9" s="203"/>
      <c r="AV9" s="490" t="s">
        <v>420</v>
      </c>
      <c r="AW9" s="475">
        <v>1</v>
      </c>
      <c r="AX9" s="476">
        <v>100</v>
      </c>
      <c r="AY9" s="475" t="s">
        <v>405</v>
      </c>
      <c r="AZ9" s="475">
        <v>150</v>
      </c>
      <c r="BA9" s="475">
        <f>Table8091[[#This Row],[wt/m]]*Table8091[[#This Row],[عدد]]</f>
        <v>150</v>
      </c>
      <c r="BC9" s="385"/>
      <c r="BD9" s="2"/>
      <c r="BE9" s="2"/>
      <c r="BG9" s="492">
        <v>4</v>
      </c>
      <c r="BH9" s="493">
        <v>0</v>
      </c>
      <c r="BI9" s="494" t="s">
        <v>413</v>
      </c>
      <c r="BJ9" s="495">
        <v>0.15</v>
      </c>
      <c r="BK9" s="495">
        <v>0.15</v>
      </c>
      <c r="BL9" s="205">
        <f>(Table1588090[[#This Row],[Column1]]+Table1588090[[#This Row],[Column2]])*12*Table1588090[[#This Row],[عدد]]</f>
        <v>0</v>
      </c>
      <c r="BM9" s="492"/>
      <c r="BN9" s="492">
        <v>84</v>
      </c>
      <c r="BO9" s="492">
        <f>Table1588090[[#This Row],[المسطح]]*Table1588090[[#This Row],[عدد]]</f>
        <v>0</v>
      </c>
      <c r="BP9" s="496">
        <f>BN9*$S$2/1000</f>
        <v>3864</v>
      </c>
      <c r="BQ9" s="497">
        <f>BH9*BP9</f>
        <v>0</v>
      </c>
      <c r="BR9" s="222">
        <f>(BQ9)/$R$71</f>
        <v>0</v>
      </c>
      <c r="BS9" s="203"/>
      <c r="BT9" s="203" t="s">
        <v>89</v>
      </c>
      <c r="BU9" s="203">
        <v>50</v>
      </c>
      <c r="BV9" s="203">
        <v>50</v>
      </c>
      <c r="BW9" s="203">
        <v>75</v>
      </c>
      <c r="BX9" s="203">
        <v>900</v>
      </c>
      <c r="BY9" s="203">
        <v>1600</v>
      </c>
      <c r="BZ9" s="203">
        <v>150</v>
      </c>
      <c r="CA9" s="203"/>
      <c r="CB9" s="203"/>
      <c r="CC9" s="203"/>
      <c r="CD9" s="203"/>
      <c r="CE9" s="203" t="s">
        <v>90</v>
      </c>
      <c r="CF9" s="203"/>
      <c r="CG9" s="203" t="s">
        <v>91</v>
      </c>
      <c r="CH9" s="203"/>
      <c r="CI9" s="203"/>
      <c r="CJ9" s="203" t="s">
        <v>296</v>
      </c>
      <c r="CK9" s="203">
        <v>0.15</v>
      </c>
      <c r="CL9" s="203">
        <v>0.15</v>
      </c>
      <c r="CM9" s="203"/>
      <c r="CN9" s="203"/>
      <c r="CO9" s="498"/>
    </row>
    <row r="10" ht="18.75" s="383" customFormat="1">
      <c r="A10" s="490" t="s">
        <v>416</v>
      </c>
      <c r="B10" s="475"/>
      <c r="C10" s="475">
        <f>B3*2</f>
        <v>64</v>
      </c>
      <c r="D10" s="475" t="s">
        <v>62</v>
      </c>
      <c r="E10" s="475">
        <v>17</v>
      </c>
      <c r="F10" s="475">
        <f>E10*C10</f>
        <v>1088</v>
      </c>
      <c r="H10" s="474"/>
      <c r="I10" s="10"/>
      <c r="J10" s="10"/>
      <c r="L10" s="205">
        <v>5</v>
      </c>
      <c r="M10" s="218">
        <f>IF(OR((N3="B11"),(N3="B12"),(N3="B21"),(N3="B22"),(N3="B31"),(N3="B32")),3,0)</f>
        <v>0</v>
      </c>
      <c r="N10" s="224" t="s">
        <v>421</v>
      </c>
      <c r="O10" s="204">
        <v>0.03</v>
      </c>
      <c r="P10" s="204">
        <v>0.03</v>
      </c>
      <c r="Q10" s="204">
        <f>(Table15880[[#This Row],[Column1]]+Table15880[[#This Row],[Column2]])*12*Table15880[[#This Row],[عدد]]</f>
        <v>0</v>
      </c>
      <c r="R10" s="226" t="s">
        <v>77</v>
      </c>
      <c r="S10" s="205"/>
      <c r="T10" s="205">
        <f>Table15880[[#This Row],[المسطح]]*Table15880[[#This Row],[عدد]]</f>
        <v>0</v>
      </c>
      <c r="U10" s="220">
        <f>S10*$S$2/1000</f>
        <v>0</v>
      </c>
      <c r="V10" s="221">
        <f>M10*U10</f>
        <v>0</v>
      </c>
      <c r="W10" s="222">
        <f>(V10)/$R$71</f>
        <v>0</v>
      </c>
      <c r="X10" s="203"/>
      <c r="Y10" s="203" t="s">
        <v>93</v>
      </c>
      <c r="Z10" s="203">
        <v>50</v>
      </c>
      <c r="AA10" s="203">
        <v>50</v>
      </c>
      <c r="AB10" s="203">
        <v>75</v>
      </c>
      <c r="AC10" s="203">
        <v>900</v>
      </c>
      <c r="AD10" s="203">
        <v>1600</v>
      </c>
      <c r="AE10" s="203">
        <v>150</v>
      </c>
      <c r="AF10" s="203"/>
      <c r="AG10" s="203"/>
      <c r="AH10" s="203"/>
      <c r="AI10" s="203"/>
      <c r="AJ10" s="219" t="s">
        <v>94</v>
      </c>
      <c r="AK10" s="203">
        <v>0.6</v>
      </c>
      <c r="AL10" s="203"/>
      <c r="AM10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03"/>
      <c r="AO10" s="203" t="s">
        <v>298</v>
      </c>
      <c r="AP10" s="203">
        <v>0.05</v>
      </c>
      <c r="AQ10" s="203">
        <v>0.1</v>
      </c>
      <c r="AR10" s="203"/>
      <c r="AS10" s="203"/>
      <c r="AT10" s="498"/>
      <c r="AU10" s="203"/>
      <c r="AV10" s="490" t="s">
        <v>422</v>
      </c>
      <c r="AW10" s="475"/>
      <c r="AX10" s="475">
        <v>100</v>
      </c>
      <c r="AY10" s="475" t="s">
        <v>62</v>
      </c>
      <c r="AZ10" s="475">
        <v>0.375</v>
      </c>
      <c r="BA10" s="475">
        <f>AX10*AZ10</f>
        <v>37.5</v>
      </c>
      <c r="BC10" s="385"/>
      <c r="BD10" s="2"/>
      <c r="BE10" s="2"/>
      <c r="BG10" s="492">
        <v>5</v>
      </c>
      <c r="BH10" s="218">
        <f>IF(OR((BI3="B11"),(BI3="B12"),(BI3="B21"),(BI3="B22"),(BI3="B31"),(BI3="B32")),3,0)</f>
        <v>0</v>
      </c>
      <c r="BI10" s="224" t="s">
        <v>421</v>
      </c>
      <c r="BJ10" s="204">
        <v>0.03</v>
      </c>
      <c r="BK10" s="204">
        <v>0.03</v>
      </c>
      <c r="BL10" s="204">
        <f>(Table1588090[[#This Row],[Column1]]+Table1588090[[#This Row],[Column2]])*12*Table1588090[[#This Row],[عدد]]</f>
        <v>0</v>
      </c>
      <c r="BM10" s="226" t="s">
        <v>77</v>
      </c>
      <c r="BN10" s="205"/>
      <c r="BO10" s="205">
        <f>Table1588090[[#This Row],[المسطح]]*Table1588090[[#This Row],[عدد]]</f>
        <v>0</v>
      </c>
      <c r="BP10" s="220">
        <f>BN10*$S$2/1000</f>
        <v>0</v>
      </c>
      <c r="BQ10" s="221">
        <f>BH10*BP10</f>
        <v>0</v>
      </c>
      <c r="BR10" s="222">
        <f>(BQ10)/$R$71</f>
        <v>0</v>
      </c>
      <c r="BS10" s="203"/>
      <c r="BT10" s="203" t="s">
        <v>93</v>
      </c>
      <c r="BU10" s="203">
        <v>50</v>
      </c>
      <c r="BV10" s="203">
        <v>50</v>
      </c>
      <c r="BW10" s="203">
        <v>75</v>
      </c>
      <c r="BX10" s="203">
        <v>900</v>
      </c>
      <c r="BY10" s="203">
        <v>1600</v>
      </c>
      <c r="BZ10" s="203">
        <v>150</v>
      </c>
      <c r="CA10" s="203"/>
      <c r="CB10" s="203"/>
      <c r="CC10" s="203"/>
      <c r="CD10" s="203"/>
      <c r="CE10" s="219" t="s">
        <v>94</v>
      </c>
      <c r="CF10" s="203">
        <v>0.6</v>
      </c>
      <c r="CG10" s="203"/>
      <c r="CH10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03"/>
      <c r="CJ10" s="203" t="s">
        <v>298</v>
      </c>
      <c r="CK10" s="203">
        <v>0.05</v>
      </c>
      <c r="CL10" s="203">
        <v>0.1</v>
      </c>
      <c r="CM10" s="203"/>
      <c r="CN10" s="203"/>
      <c r="CO10" s="498"/>
    </row>
    <row r="11" ht="18.75" s="383" customFormat="1">
      <c r="A11" s="490" t="s">
        <v>419</v>
      </c>
      <c r="B11" s="475"/>
      <c r="C11" s="475">
        <f>B3*2</f>
        <v>64</v>
      </c>
      <c r="D11" s="475" t="s">
        <v>62</v>
      </c>
      <c r="E11" s="475">
        <v>12</v>
      </c>
      <c r="F11" s="475">
        <f>E11*C11</f>
        <v>768</v>
      </c>
      <c r="H11" s="474"/>
      <c r="I11" s="10"/>
      <c r="J11" s="10"/>
      <c r="L11" s="492"/>
      <c r="M11" s="493"/>
      <c r="N11" s="494" t="s">
        <v>88</v>
      </c>
      <c r="O11" s="495"/>
      <c r="P11" s="495"/>
      <c r="Q11" s="499">
        <f>SUBTOTAL(109,Table15880[المسطح])</f>
        <v>16.080000000000002</v>
      </c>
      <c r="R11" s="492"/>
      <c r="S11" s="492">
        <f>(S6*M6)+(S7*M7)+(M8*S8)+(S9*M9)</f>
        <v>225</v>
      </c>
      <c r="T11" s="492">
        <f>SUBTOTAL(109,Table15880[اجمالي المسطح])</f>
        <v>53.52000000000001</v>
      </c>
      <c r="U11" s="500"/>
      <c r="V11" s="497">
        <f>SUBTOTAL(109,Table15880[اجمالي])</f>
        <v>10350</v>
      </c>
      <c r="W11" s="501">
        <f>Table15880[[#Totals],[اجمالي]]/$R$71</f>
        <v>0.065877679089266228</v>
      </c>
      <c r="X11" s="203"/>
      <c r="Y11" s="203" t="s">
        <v>96</v>
      </c>
      <c r="Z11" s="203">
        <v>75</v>
      </c>
      <c r="AA11" s="203">
        <v>50</v>
      </c>
      <c r="AB11" s="203">
        <v>75</v>
      </c>
      <c r="AC11" s="203">
        <v>900</v>
      </c>
      <c r="AD11" s="203">
        <v>1600</v>
      </c>
      <c r="AE11" s="203">
        <v>150</v>
      </c>
      <c r="AF11" s="203"/>
      <c r="AG11" s="203"/>
      <c r="AH11" s="203"/>
      <c r="AI11" s="203"/>
      <c r="AJ11" s="233" t="s">
        <v>97</v>
      </c>
      <c r="AK11" s="203"/>
      <c r="AL11" s="203"/>
      <c r="AM11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03"/>
      <c r="AO11" s="203" t="s">
        <v>300</v>
      </c>
      <c r="AP11" s="203">
        <v>0.05</v>
      </c>
      <c r="AQ11" s="203">
        <v>0.15</v>
      </c>
      <c r="AR11" s="203"/>
      <c r="AS11" s="203"/>
      <c r="AT11" s="498"/>
      <c r="AU11" s="203"/>
      <c r="AV11" s="490" t="s">
        <v>423</v>
      </c>
      <c r="AW11" s="475"/>
      <c r="AX11" s="475">
        <f>AW3*2</f>
        <v>68</v>
      </c>
      <c r="AY11" s="475" t="s">
        <v>62</v>
      </c>
      <c r="AZ11" s="475">
        <v>100</v>
      </c>
      <c r="BA11" s="475">
        <f>AX11*AZ11</f>
        <v>6800</v>
      </c>
      <c r="BC11" s="385"/>
      <c r="BD11" s="2"/>
      <c r="BE11" s="2"/>
      <c r="BG11" s="492"/>
      <c r="BH11" s="493"/>
      <c r="BI11" s="494" t="s">
        <v>88</v>
      </c>
      <c r="BJ11" s="495"/>
      <c r="BK11" s="495"/>
      <c r="BL11" s="499">
        <f>SUBTOTAL(109,Table1588090[المسطح])</f>
        <v>12.96</v>
      </c>
      <c r="BM11" s="492"/>
      <c r="BN11" s="492">
        <f>(BN6*BH6)+(BN7*BG7)+(BN8*BG8)+(BN9*BG9)</f>
        <v>482</v>
      </c>
      <c r="BO11" s="492">
        <f>SUBTOTAL(109,Table1588090[اجمالي المسطح])</f>
        <v>31.680000000000003</v>
      </c>
      <c r="BP11" s="500"/>
      <c r="BQ11" s="497">
        <f>SUBTOTAL(109,Table1588090[اجمالي])</f>
        <v>8418</v>
      </c>
      <c r="BR11" s="501">
        <f>Table1588090[[#Totals],[اجمالي]]/$R$71</f>
        <v>0.053580512325936525</v>
      </c>
      <c r="BS11" s="203"/>
      <c r="BT11" s="203" t="s">
        <v>96</v>
      </c>
      <c r="BU11" s="203">
        <v>75</v>
      </c>
      <c r="BV11" s="203">
        <v>50</v>
      </c>
      <c r="BW11" s="203">
        <v>75</v>
      </c>
      <c r="BX11" s="203">
        <v>900</v>
      </c>
      <c r="BY11" s="203">
        <v>1600</v>
      </c>
      <c r="BZ11" s="203">
        <v>150</v>
      </c>
      <c r="CA11" s="203"/>
      <c r="CB11" s="203"/>
      <c r="CC11" s="203"/>
      <c r="CD11" s="203"/>
      <c r="CE11" s="233" t="s">
        <v>97</v>
      </c>
      <c r="CF11" s="203"/>
      <c r="CG11" s="203"/>
      <c r="CH11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03"/>
      <c r="CJ11" s="203" t="s">
        <v>300</v>
      </c>
      <c r="CK11" s="203">
        <v>0.05</v>
      </c>
      <c r="CL11" s="203">
        <v>0.15</v>
      </c>
      <c r="CM11" s="203"/>
      <c r="CN11" s="203"/>
      <c r="CO11" s="498"/>
    </row>
    <row r="12" ht="18.75" s="383" customFormat="1">
      <c r="A12" s="490" t="s">
        <v>420</v>
      </c>
      <c r="B12" s="475">
        <v>1</v>
      </c>
      <c r="C12" s="476">
        <v>100</v>
      </c>
      <c r="D12" s="475" t="s">
        <v>405</v>
      </c>
      <c r="E12" s="475">
        <v>150</v>
      </c>
      <c r="F12" s="475">
        <f>Table80[[#This Row],[wt/m]]*Table80[[#This Row],[عدد]]</f>
        <v>150</v>
      </c>
      <c r="H12" s="474"/>
      <c r="I12" s="10"/>
      <c r="J12" s="479"/>
      <c r="L12" s="203"/>
      <c r="M12" s="203"/>
      <c r="N12" s="231"/>
      <c r="O12" s="629" t="s">
        <v>107</v>
      </c>
      <c r="P12" s="629"/>
      <c r="Q12" s="629"/>
      <c r="R12" s="629"/>
      <c r="S12" s="629"/>
      <c r="T12" s="629"/>
      <c r="U12" s="203"/>
      <c r="V12" s="203"/>
      <c r="W12" s="203"/>
      <c r="X12" s="203"/>
      <c r="Y12" s="203" t="s">
        <v>100</v>
      </c>
      <c r="Z12" s="203">
        <v>75</v>
      </c>
      <c r="AA12" s="203">
        <v>50</v>
      </c>
      <c r="AB12" s="203">
        <v>75</v>
      </c>
      <c r="AC12" s="203">
        <v>900</v>
      </c>
      <c r="AD12" s="203">
        <v>1600</v>
      </c>
      <c r="AE12" s="203">
        <v>150</v>
      </c>
      <c r="AF12" s="203"/>
      <c r="AG12" s="203"/>
      <c r="AH12" s="203"/>
      <c r="AI12" s="203"/>
      <c r="AJ12" s="233" t="s">
        <v>101</v>
      </c>
      <c r="AK12" s="203">
        <v>0.6</v>
      </c>
      <c r="AL12" s="203"/>
      <c r="AM12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03"/>
      <c r="AO12" s="203" t="s">
        <v>302</v>
      </c>
      <c r="AP12" s="203">
        <v>0.1</v>
      </c>
      <c r="AQ12" s="203">
        <v>0.15</v>
      </c>
      <c r="AR12" s="203"/>
      <c r="AS12" s="203"/>
      <c r="AT12" s="498"/>
      <c r="AU12" s="203"/>
      <c r="AV12" s="490" t="s">
        <v>424</v>
      </c>
      <c r="AW12" s="475"/>
      <c r="AX12" s="475">
        <f>AW3*2</f>
        <v>68</v>
      </c>
      <c r="AY12" s="475" t="s">
        <v>62</v>
      </c>
      <c r="AZ12" s="475">
        <v>100</v>
      </c>
      <c r="BA12" s="475">
        <f>AX12*AZ12</f>
        <v>6800</v>
      </c>
      <c r="BC12" s="385"/>
      <c r="BD12" s="2"/>
      <c r="BE12" s="526"/>
      <c r="BG12" s="203"/>
      <c r="BH12" s="203"/>
      <c r="BI12" s="231"/>
      <c r="BJ12" s="629" t="s">
        <v>107</v>
      </c>
      <c r="BK12" s="629"/>
      <c r="BL12" s="629"/>
      <c r="BM12" s="629"/>
      <c r="BN12" s="629"/>
      <c r="BO12" s="629"/>
      <c r="BP12" s="203"/>
      <c r="BQ12" s="203"/>
      <c r="BR12" s="203"/>
      <c r="BS12" s="203"/>
      <c r="BT12" s="203" t="s">
        <v>100</v>
      </c>
      <c r="BU12" s="203">
        <v>75</v>
      </c>
      <c r="BV12" s="203">
        <v>50</v>
      </c>
      <c r="BW12" s="203">
        <v>75</v>
      </c>
      <c r="BX12" s="203">
        <v>900</v>
      </c>
      <c r="BY12" s="203">
        <v>1600</v>
      </c>
      <c r="BZ12" s="203">
        <v>150</v>
      </c>
      <c r="CA12" s="203"/>
      <c r="CB12" s="203"/>
      <c r="CC12" s="203"/>
      <c r="CD12" s="203"/>
      <c r="CE12" s="233" t="s">
        <v>101</v>
      </c>
      <c r="CF12" s="203">
        <v>0.6</v>
      </c>
      <c r="CG12" s="203"/>
      <c r="CH12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03"/>
      <c r="CJ12" s="203" t="s">
        <v>302</v>
      </c>
      <c r="CK12" s="203">
        <v>0.1</v>
      </c>
      <c r="CL12" s="203">
        <v>0.15</v>
      </c>
      <c r="CM12" s="203"/>
      <c r="CN12" s="203"/>
      <c r="CO12" s="498"/>
    </row>
    <row r="13" ht="18.75" s="383" customFormat="1">
      <c r="A13" s="490" t="s">
        <v>425</v>
      </c>
      <c r="B13" s="475"/>
      <c r="C13" s="475">
        <v>4</v>
      </c>
      <c r="D13" s="475" t="s">
        <v>426</v>
      </c>
      <c r="E13" s="475">
        <v>150</v>
      </c>
      <c r="F13" s="475">
        <f>C13*E13</f>
        <v>600</v>
      </c>
      <c r="H13" s="2"/>
      <c r="L13" s="205" t="s">
        <v>61</v>
      </c>
      <c r="M13" s="205" t="s">
        <v>62</v>
      </c>
      <c r="N13" s="233" t="s">
        <v>63</v>
      </c>
      <c r="O13" s="205" t="s">
        <v>64</v>
      </c>
      <c r="P13" s="205" t="s">
        <v>43</v>
      </c>
      <c r="Q13" s="205" t="s">
        <v>95</v>
      </c>
      <c r="R13" s="205" t="s">
        <v>66</v>
      </c>
      <c r="S13" s="205" t="s">
        <v>67</v>
      </c>
      <c r="T13" s="205" t="s">
        <v>110</v>
      </c>
      <c r="U13" s="205" t="s">
        <v>69</v>
      </c>
      <c r="V13" s="234" t="s">
        <v>70</v>
      </c>
      <c r="W13" s="205" t="s">
        <v>71</v>
      </c>
      <c r="X13" s="203"/>
      <c r="Y13" s="203" t="s">
        <v>103</v>
      </c>
      <c r="Z13" s="203">
        <v>75</v>
      </c>
      <c r="AA13" s="203">
        <v>50</v>
      </c>
      <c r="AB13" s="203">
        <v>75</v>
      </c>
      <c r="AC13" s="203">
        <v>900</v>
      </c>
      <c r="AD13" s="203">
        <v>1600</v>
      </c>
      <c r="AE13" s="203">
        <v>150</v>
      </c>
      <c r="AF13" s="203"/>
      <c r="AG13" s="203"/>
      <c r="AH13" s="203"/>
      <c r="AI13" s="203"/>
      <c r="AJ13" s="233" t="s">
        <v>104</v>
      </c>
      <c r="AK13" s="203"/>
      <c r="AL13" s="203"/>
      <c r="AM13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03"/>
      <c r="AO13" s="203"/>
      <c r="AP13" s="203"/>
      <c r="AQ13" s="203"/>
      <c r="AR13" s="203"/>
      <c r="AS13" s="203"/>
      <c r="AT13" s="498"/>
      <c r="AU13" s="203"/>
      <c r="AV13" s="490" t="s">
        <v>240</v>
      </c>
      <c r="AW13" s="475" t="s">
        <v>62</v>
      </c>
      <c r="AX13" s="475">
        <v>1</v>
      </c>
      <c r="AY13" s="475" t="s">
        <v>62</v>
      </c>
      <c r="AZ13" s="475">
        <v>5000</v>
      </c>
      <c r="BA13" s="475">
        <f>AZ13*AX13</f>
        <v>5000</v>
      </c>
      <c r="BC13" s="2"/>
      <c r="BG13" s="205" t="s">
        <v>61</v>
      </c>
      <c r="BH13" s="205" t="s">
        <v>62</v>
      </c>
      <c r="BI13" s="233" t="s">
        <v>63</v>
      </c>
      <c r="BJ13" s="205" t="s">
        <v>64</v>
      </c>
      <c r="BK13" s="205" t="s">
        <v>43</v>
      </c>
      <c r="BL13" s="205" t="s">
        <v>95</v>
      </c>
      <c r="BM13" s="205" t="s">
        <v>66</v>
      </c>
      <c r="BN13" s="205" t="s">
        <v>67</v>
      </c>
      <c r="BO13" s="205" t="s">
        <v>110</v>
      </c>
      <c r="BP13" s="205" t="s">
        <v>69</v>
      </c>
      <c r="BQ13" s="234" t="s">
        <v>70</v>
      </c>
      <c r="BR13" s="205" t="s">
        <v>71</v>
      </c>
      <c r="BS13" s="203"/>
      <c r="BT13" s="203" t="s">
        <v>103</v>
      </c>
      <c r="BU13" s="203">
        <v>75</v>
      </c>
      <c r="BV13" s="203">
        <v>50</v>
      </c>
      <c r="BW13" s="203">
        <v>75</v>
      </c>
      <c r="BX13" s="203">
        <v>900</v>
      </c>
      <c r="BY13" s="203">
        <v>1600</v>
      </c>
      <c r="BZ13" s="203">
        <v>150</v>
      </c>
      <c r="CA13" s="203"/>
      <c r="CB13" s="203"/>
      <c r="CC13" s="203"/>
      <c r="CD13" s="203"/>
      <c r="CE13" s="233" t="s">
        <v>104</v>
      </c>
      <c r="CF13" s="203"/>
      <c r="CG13" s="203"/>
      <c r="CH13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03"/>
      <c r="CJ13" s="203"/>
      <c r="CK13" s="203"/>
      <c r="CL13" s="203"/>
      <c r="CM13" s="203"/>
      <c r="CN13" s="203"/>
      <c r="CO13" s="498"/>
    </row>
    <row r="14" ht="18.75" s="383" customFormat="1">
      <c r="A14" s="490" t="s">
        <v>427</v>
      </c>
      <c r="B14" s="475"/>
      <c r="C14" s="475">
        <v>8</v>
      </c>
      <c r="D14" s="475" t="s">
        <v>62</v>
      </c>
      <c r="E14" s="475">
        <v>200</v>
      </c>
      <c r="F14" s="475">
        <f>C14*E14</f>
        <v>1600</v>
      </c>
      <c r="H14" s="2"/>
      <c r="L14" s="205">
        <v>1</v>
      </c>
      <c r="M14" s="218">
        <v>2</v>
      </c>
      <c r="N14" s="219" t="s">
        <v>113</v>
      </c>
      <c r="O14" s="204"/>
      <c r="P14" s="204"/>
      <c r="Q14" s="204"/>
      <c r="R14" s="205" t="s">
        <v>114</v>
      </c>
      <c r="S14" s="205"/>
      <c r="T14" s="226"/>
      <c r="U14" s="408">
        <f>Sheet2!B28</f>
        <v>300</v>
      </c>
      <c r="V14" s="221">
        <f ref="V14:V18" t="shared" si="6">M14*U14</f>
        <v>600</v>
      </c>
      <c r="W14" s="222">
        <f>(V14)/$R$71</f>
        <v>0.0038189958892328245</v>
      </c>
      <c r="X14" s="203"/>
      <c r="Y14" s="203" t="s">
        <v>105</v>
      </c>
      <c r="Z14" s="203">
        <v>100</v>
      </c>
      <c r="AA14" s="203">
        <v>50</v>
      </c>
      <c r="AB14" s="203">
        <v>75</v>
      </c>
      <c r="AC14" s="203">
        <v>1000</v>
      </c>
      <c r="AD14" s="203">
        <v>2000</v>
      </c>
      <c r="AE14" s="203">
        <v>150</v>
      </c>
      <c r="AF14" s="203"/>
      <c r="AG14" s="203"/>
      <c r="AH14" s="203"/>
      <c r="AI14" s="203"/>
      <c r="AJ14" s="233" t="s">
        <v>106</v>
      </c>
      <c r="AK14" s="203"/>
      <c r="AL14" s="203"/>
      <c r="AM14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4" s="203"/>
      <c r="AO14" s="203"/>
      <c r="AP14" s="203"/>
      <c r="AQ14" s="203"/>
      <c r="AR14" s="203"/>
      <c r="AS14" s="203"/>
      <c r="AT14" s="498"/>
      <c r="AU14" s="203"/>
      <c r="AV14" s="554" t="s">
        <v>88</v>
      </c>
      <c r="AW14" s="555">
        <f>(Table8091[[#Totals],[price]]*1.1)/(BA1*AY1/10000)</f>
        <v>4414.7473333333337</v>
      </c>
      <c r="AX14" s="556"/>
      <c r="AY14" s="556"/>
      <c r="AZ14" s="556"/>
      <c r="BA14" s="556">
        <f>SUBTOTAL(109,Table8091[price])</f>
        <v>60201.1</v>
      </c>
      <c r="BC14" s="2"/>
      <c r="BG14" s="205">
        <v>1</v>
      </c>
      <c r="BH14" s="218">
        <v>2</v>
      </c>
      <c r="BI14" s="219" t="s">
        <v>113</v>
      </c>
      <c r="BJ14" s="204"/>
      <c r="BK14" s="204"/>
      <c r="BL14" s="204"/>
      <c r="BM14" s="205" t="s">
        <v>114</v>
      </c>
      <c r="BN14" s="205"/>
      <c r="BO14" s="226"/>
      <c r="BP14" s="408">
        <f>Sheet2!AW28</f>
        <v>0</v>
      </c>
      <c r="BQ14" s="221">
        <f ref="BQ14:BQ18" t="shared" si="7">BH14*BP14</f>
        <v>0</v>
      </c>
      <c r="BR14" s="222">
        <f>(BQ14)/$R$71</f>
        <v>0</v>
      </c>
      <c r="BS14" s="203"/>
      <c r="BT14" s="203" t="s">
        <v>105</v>
      </c>
      <c r="BU14" s="203">
        <v>100</v>
      </c>
      <c r="BV14" s="203">
        <v>50</v>
      </c>
      <c r="BW14" s="203">
        <v>75</v>
      </c>
      <c r="BX14" s="203">
        <v>1000</v>
      </c>
      <c r="BY14" s="203">
        <v>2000</v>
      </c>
      <c r="BZ14" s="203">
        <v>150</v>
      </c>
      <c r="CA14" s="203"/>
      <c r="CB14" s="203"/>
      <c r="CC14" s="203"/>
      <c r="CD14" s="203"/>
      <c r="CE14" s="233" t="s">
        <v>106</v>
      </c>
      <c r="CF14" s="203"/>
      <c r="CG14" s="203"/>
      <c r="CH14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4" s="203"/>
      <c r="CJ14" s="203"/>
      <c r="CK14" s="203"/>
      <c r="CL14" s="203"/>
      <c r="CM14" s="203"/>
      <c r="CN14" s="203"/>
      <c r="CO14" s="498"/>
    </row>
    <row r="15" ht="18.75" s="383" customFormat="1">
      <c r="A15" s="490" t="s">
        <v>423</v>
      </c>
      <c r="B15" s="475"/>
      <c r="C15" s="475">
        <f>B3*2</f>
        <v>64</v>
      </c>
      <c r="D15" s="475" t="s">
        <v>62</v>
      </c>
      <c r="E15" s="475">
        <v>100</v>
      </c>
      <c r="F15" s="475">
        <f>C15*E15</f>
        <v>6400</v>
      </c>
      <c r="H15" s="2"/>
      <c r="L15" s="205">
        <v>2</v>
      </c>
      <c r="M15" s="218">
        <v>2</v>
      </c>
      <c r="N15" s="219" t="s">
        <v>119</v>
      </c>
      <c r="O15" s="204"/>
      <c r="P15" s="204"/>
      <c r="Q15" s="204"/>
      <c r="R15" s="205" t="s">
        <v>62</v>
      </c>
      <c r="S15" s="205"/>
      <c r="T15" s="226"/>
      <c r="U15" s="408">
        <v>85</v>
      </c>
      <c r="V15" s="221">
        <f t="shared" si="6"/>
        <v>170</v>
      </c>
      <c r="W15" s="222">
        <f>(V15)/$R$71</f>
        <v>0.0010820488352826336</v>
      </c>
      <c r="X15" s="203"/>
      <c r="Y15" s="203" t="s">
        <v>108</v>
      </c>
      <c r="Z15" s="203">
        <v>120</v>
      </c>
      <c r="AA15" s="203">
        <v>50</v>
      </c>
      <c r="AB15" s="203">
        <v>75</v>
      </c>
      <c r="AC15" s="203">
        <v>1100</v>
      </c>
      <c r="AD15" s="203">
        <v>2100</v>
      </c>
      <c r="AE15" s="203">
        <v>200</v>
      </c>
      <c r="AF15" s="203"/>
      <c r="AG15" s="203"/>
      <c r="AH15" s="203"/>
      <c r="AI15" s="203"/>
      <c r="AJ15" s="233" t="s">
        <v>109</v>
      </c>
      <c r="AK15" s="203">
        <v>0.1</v>
      </c>
      <c r="AL15" s="203"/>
      <c r="AM15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5" s="203"/>
      <c r="AO15" s="203"/>
      <c r="AP15" s="203"/>
      <c r="AQ15" s="203"/>
      <c r="AR15" s="203"/>
      <c r="AS15" s="203"/>
      <c r="AT15" s="498"/>
      <c r="AU15" s="203"/>
      <c r="AV15" s="490"/>
      <c r="AW15" s="475"/>
      <c r="AX15" s="475"/>
      <c r="AY15" s="475"/>
      <c r="AZ15" s="475"/>
      <c r="BA15" s="475"/>
      <c r="BC15" s="2"/>
      <c r="BG15" s="205">
        <v>2</v>
      </c>
      <c r="BH15" s="218">
        <v>2</v>
      </c>
      <c r="BI15" s="219" t="s">
        <v>119</v>
      </c>
      <c r="BJ15" s="204"/>
      <c r="BK15" s="204"/>
      <c r="BL15" s="204"/>
      <c r="BM15" s="205" t="s">
        <v>62</v>
      </c>
      <c r="BN15" s="205"/>
      <c r="BO15" s="226"/>
      <c r="BP15" s="408">
        <v>85</v>
      </c>
      <c r="BQ15" s="221">
        <f t="shared" si="7"/>
        <v>170</v>
      </c>
      <c r="BR15" s="222">
        <f>(BQ15)/$R$71</f>
        <v>0.0010820488352826336</v>
      </c>
      <c r="BS15" s="203"/>
      <c r="BT15" s="203" t="s">
        <v>108</v>
      </c>
      <c r="BU15" s="203">
        <v>120</v>
      </c>
      <c r="BV15" s="203">
        <v>50</v>
      </c>
      <c r="BW15" s="203">
        <v>75</v>
      </c>
      <c r="BX15" s="203">
        <v>1100</v>
      </c>
      <c r="BY15" s="203">
        <v>2100</v>
      </c>
      <c r="BZ15" s="203">
        <v>200</v>
      </c>
      <c r="CA15" s="203"/>
      <c r="CB15" s="203"/>
      <c r="CC15" s="203"/>
      <c r="CD15" s="203"/>
      <c r="CE15" s="233" t="s">
        <v>109</v>
      </c>
      <c r="CF15" s="203">
        <v>0.1</v>
      </c>
      <c r="CG15" s="203"/>
      <c r="CH15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5" s="203"/>
      <c r="CJ15" s="203"/>
      <c r="CK15" s="203"/>
      <c r="CL15" s="203"/>
      <c r="CM15" s="203"/>
      <c r="CN15" s="203"/>
      <c r="CO15" s="498"/>
    </row>
    <row r="16" ht="18.75" s="383" customFormat="1">
      <c r="A16" s="490" t="s">
        <v>424</v>
      </c>
      <c r="B16" s="475"/>
      <c r="C16" s="475">
        <f>B3*2</f>
        <v>64</v>
      </c>
      <c r="D16" s="475" t="s">
        <v>62</v>
      </c>
      <c r="E16" s="475">
        <v>200</v>
      </c>
      <c r="F16" s="475">
        <f>C16*E16</f>
        <v>12800</v>
      </c>
      <c r="H16" s="2"/>
      <c r="L16" s="205">
        <v>3</v>
      </c>
      <c r="M16" s="201">
        <v>1</v>
      </c>
      <c r="N16" s="219" t="s">
        <v>121</v>
      </c>
      <c r="O16" s="204"/>
      <c r="P16" s="204"/>
      <c r="Q16" s="204"/>
      <c r="R16" s="205" t="s">
        <v>62</v>
      </c>
      <c r="S16" s="205"/>
      <c r="T16" s="226"/>
      <c r="U16" s="408">
        <v>75</v>
      </c>
      <c r="V16" s="221">
        <f t="shared" si="6"/>
        <v>75</v>
      </c>
      <c r="W16" s="222">
        <f>(V16)/$R$71</f>
        <v>0.00047737448615410306</v>
      </c>
      <c r="X16" s="203"/>
      <c r="Y16" s="203" t="s">
        <v>111</v>
      </c>
      <c r="Z16" s="203">
        <v>150</v>
      </c>
      <c r="AA16" s="203">
        <v>50</v>
      </c>
      <c r="AB16" s="203">
        <v>75</v>
      </c>
      <c r="AC16" s="203">
        <v>1300</v>
      </c>
      <c r="AD16" s="203">
        <v>2200</v>
      </c>
      <c r="AE16" s="203">
        <v>200</v>
      </c>
      <c r="AF16" s="203"/>
      <c r="AG16" s="203"/>
      <c r="AH16" s="203"/>
      <c r="AI16" s="203"/>
      <c r="AJ16" s="233" t="s">
        <v>112</v>
      </c>
      <c r="AK16" s="203">
        <v>0.1</v>
      </c>
      <c r="AL16" s="203"/>
      <c r="AM16" s="203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6" s="203"/>
      <c r="AO16" s="203"/>
      <c r="AP16" s="203"/>
      <c r="AQ16" s="203"/>
      <c r="AR16" s="203"/>
      <c r="AS16" s="203"/>
      <c r="AT16" s="498"/>
      <c r="AU16" s="203"/>
      <c r="AV16" s="490"/>
      <c r="AW16" s="475"/>
      <c r="AX16" s="475"/>
      <c r="AY16" s="475"/>
      <c r="AZ16" s="475"/>
      <c r="BA16" s="475"/>
      <c r="BC16" s="2"/>
      <c r="BG16" s="205">
        <v>3</v>
      </c>
      <c r="BH16" s="201">
        <v>1</v>
      </c>
      <c r="BI16" s="219" t="s">
        <v>121</v>
      </c>
      <c r="BJ16" s="204"/>
      <c r="BK16" s="204"/>
      <c r="BL16" s="204"/>
      <c r="BM16" s="205" t="s">
        <v>62</v>
      </c>
      <c r="BN16" s="205"/>
      <c r="BO16" s="226"/>
      <c r="BP16" s="408">
        <v>75</v>
      </c>
      <c r="BQ16" s="221">
        <f t="shared" si="7"/>
        <v>75</v>
      </c>
      <c r="BR16" s="222">
        <f>(BQ16)/$R$71</f>
        <v>0.00047737448615410306</v>
      </c>
      <c r="BS16" s="203"/>
      <c r="BT16" s="203" t="s">
        <v>111</v>
      </c>
      <c r="BU16" s="203">
        <v>150</v>
      </c>
      <c r="BV16" s="203">
        <v>50</v>
      </c>
      <c r="BW16" s="203">
        <v>75</v>
      </c>
      <c r="BX16" s="203">
        <v>1300</v>
      </c>
      <c r="BY16" s="203">
        <v>2200</v>
      </c>
      <c r="BZ16" s="203">
        <v>200</v>
      </c>
      <c r="CA16" s="203"/>
      <c r="CB16" s="203"/>
      <c r="CC16" s="203"/>
      <c r="CD16" s="203"/>
      <c r="CE16" s="233" t="s">
        <v>112</v>
      </c>
      <c r="CF16" s="203">
        <v>0.1</v>
      </c>
      <c r="CG16" s="203"/>
      <c r="CH16" s="203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6" s="203"/>
      <c r="CJ16" s="203"/>
      <c r="CK16" s="203"/>
      <c r="CL16" s="203"/>
      <c r="CM16" s="203"/>
      <c r="CN16" s="203"/>
      <c r="CO16" s="498"/>
    </row>
    <row r="17" ht="18.75" s="383" customFormat="1">
      <c r="A17" s="490" t="s">
        <v>428</v>
      </c>
      <c r="B17" s="475">
        <v>2</v>
      </c>
      <c r="C17" s="475">
        <f>B3</f>
        <v>32</v>
      </c>
      <c r="D17" s="475" t="s">
        <v>405</v>
      </c>
      <c r="E17" s="475">
        <v>1000</v>
      </c>
      <c r="F17" s="475">
        <f>B17*E17</f>
        <v>2000</v>
      </c>
      <c r="H17" s="2"/>
      <c r="L17" s="205">
        <v>4</v>
      </c>
      <c r="M17" s="218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9" t="s">
        <v>123</v>
      </c>
      <c r="O17" s="204"/>
      <c r="P17" s="204"/>
      <c r="Q17" s="204"/>
      <c r="R17" s="230" t="s">
        <v>124</v>
      </c>
      <c r="S17" s="230"/>
      <c r="T17" s="226"/>
      <c r="U17" s="408">
        <v>30</v>
      </c>
      <c r="V17" s="221">
        <f t="shared" si="6"/>
        <v>480</v>
      </c>
      <c r="W17" s="222">
        <f>(V17)/$R$71</f>
        <v>0.0030551967113862594</v>
      </c>
      <c r="X17" s="203"/>
      <c r="Y17" s="203" t="s">
        <v>115</v>
      </c>
      <c r="Z17" s="203">
        <v>150</v>
      </c>
      <c r="AA17" s="203">
        <v>50</v>
      </c>
      <c r="AB17" s="203">
        <v>75</v>
      </c>
      <c r="AC17" s="203">
        <v>1200</v>
      </c>
      <c r="AD17" s="203">
        <v>2300</v>
      </c>
      <c r="AE17" s="203">
        <v>200</v>
      </c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498"/>
      <c r="AU17" s="203"/>
      <c r="AV17" s="490"/>
      <c r="AW17" s="475"/>
      <c r="AX17" s="475"/>
      <c r="AY17" s="475"/>
      <c r="AZ17" s="475"/>
      <c r="BA17" s="475"/>
      <c r="BC17" s="2"/>
      <c r="BG17" s="205">
        <v>4</v>
      </c>
      <c r="BH17" s="218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9" t="s">
        <v>123</v>
      </c>
      <c r="BJ17" s="204"/>
      <c r="BK17" s="204"/>
      <c r="BL17" s="204"/>
      <c r="BM17" s="230" t="s">
        <v>124</v>
      </c>
      <c r="BN17" s="230"/>
      <c r="BO17" s="226"/>
      <c r="BP17" s="408">
        <v>30</v>
      </c>
      <c r="BQ17" s="221">
        <f t="shared" si="7"/>
        <v>480</v>
      </c>
      <c r="BR17" s="222">
        <f>(BQ17)/$R$71</f>
        <v>0.0030551967113862594</v>
      </c>
      <c r="BS17" s="203"/>
      <c r="BT17" s="203" t="s">
        <v>115</v>
      </c>
      <c r="BU17" s="203">
        <v>150</v>
      </c>
      <c r="BV17" s="203">
        <v>50</v>
      </c>
      <c r="BW17" s="203">
        <v>75</v>
      </c>
      <c r="BX17" s="203">
        <v>1200</v>
      </c>
      <c r="BY17" s="203">
        <v>2300</v>
      </c>
      <c r="BZ17" s="203">
        <v>200</v>
      </c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498"/>
    </row>
    <row r="18" ht="18.75" s="383" customFormat="1">
      <c r="A18" s="490" t="s">
        <v>429</v>
      </c>
      <c r="B18" s="475"/>
      <c r="C18" s="475">
        <f>ROUNDUP(((C3*B3)/100),0)</f>
        <v>123</v>
      </c>
      <c r="D18" s="475" t="s">
        <v>405</v>
      </c>
      <c r="E18" s="475">
        <v>5</v>
      </c>
      <c r="F18" s="475">
        <f>C18*E18</f>
        <v>615</v>
      </c>
      <c r="H18" s="2"/>
      <c r="L18" s="205">
        <v>7</v>
      </c>
      <c r="M18" s="218">
        <f>IF(OR((N3="B11"),(N3="B12"),(N3="B21"),(N3="B22"),(N3="B31"),(N3="B32")),2,0)</f>
        <v>0</v>
      </c>
      <c r="N18" s="219" t="s">
        <v>130</v>
      </c>
      <c r="O18" s="204"/>
      <c r="P18" s="204"/>
      <c r="Q18" s="204"/>
      <c r="R18" s="205" t="s">
        <v>124</v>
      </c>
      <c r="S18" s="205"/>
      <c r="T18" s="226"/>
      <c r="U18" s="220">
        <f>Sheet2!B30</f>
        <v>400</v>
      </c>
      <c r="V18" s="221">
        <f t="shared" si="6"/>
        <v>0</v>
      </c>
      <c r="W18" s="222">
        <f>(V18)/$R$71</f>
        <v>0</v>
      </c>
      <c r="X18" s="203"/>
      <c r="Y18" s="203" t="s">
        <v>118</v>
      </c>
      <c r="Z18" s="203">
        <v>500</v>
      </c>
      <c r="AA18" s="203">
        <v>200</v>
      </c>
      <c r="AB18" s="203">
        <v>100</v>
      </c>
      <c r="AC18" s="203">
        <v>2500</v>
      </c>
      <c r="AD18" s="203">
        <v>4000</v>
      </c>
      <c r="AE18" s="203">
        <v>300</v>
      </c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498"/>
      <c r="AU18" s="203"/>
      <c r="AV18" s="490"/>
      <c r="AW18" s="475"/>
      <c r="AX18" s="475"/>
      <c r="AY18" s="475"/>
      <c r="AZ18" s="475"/>
      <c r="BA18" s="475"/>
      <c r="BC18" s="2"/>
      <c r="BG18" s="205">
        <v>5</v>
      </c>
      <c r="BH18" s="218">
        <f>IF(OR((BI3="B11"),(BI3="B12"),(BI3="B21"),(BI3="B22"),(BI3="B31"),(BI3="B32")),2,0)</f>
        <v>0</v>
      </c>
      <c r="BI18" s="219" t="s">
        <v>130</v>
      </c>
      <c r="BJ18" s="204"/>
      <c r="BK18" s="204"/>
      <c r="BL18" s="204"/>
      <c r="BM18" s="205" t="s">
        <v>124</v>
      </c>
      <c r="BN18" s="205"/>
      <c r="BO18" s="226"/>
      <c r="BP18" s="220">
        <f>Sheet2!AW30</f>
        <v>0</v>
      </c>
      <c r="BQ18" s="221">
        <f t="shared" si="7"/>
        <v>0</v>
      </c>
      <c r="BR18" s="222">
        <f>(BQ18)/$R$71</f>
        <v>0</v>
      </c>
      <c r="BS18" s="203"/>
      <c r="BT18" s="203" t="s">
        <v>118</v>
      </c>
      <c r="BU18" s="203">
        <v>500</v>
      </c>
      <c r="BV18" s="203">
        <v>200</v>
      </c>
      <c r="BW18" s="203">
        <v>100</v>
      </c>
      <c r="BX18" s="203">
        <v>2500</v>
      </c>
      <c r="BY18" s="203">
        <v>4000</v>
      </c>
      <c r="BZ18" s="203">
        <v>300</v>
      </c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498"/>
    </row>
    <row r="19" ht="18.75">
      <c r="A19" s="490" t="s">
        <v>430</v>
      </c>
      <c r="B19" s="475" t="s">
        <v>431</v>
      </c>
      <c r="C19" s="475">
        <f>ROUNDUP((B3/3),0)</f>
        <v>11</v>
      </c>
      <c r="D19" s="475" t="s">
        <v>62</v>
      </c>
      <c r="E19" s="475">
        <v>175</v>
      </c>
      <c r="F19" s="475">
        <f>C19*E19</f>
        <v>1925</v>
      </c>
      <c r="L19" s="266" t="s">
        <v>88</v>
      </c>
      <c r="M19" s="269"/>
      <c r="N19" s="270" t="s">
        <v>88</v>
      </c>
      <c r="O19" s="272"/>
      <c r="P19" s="272"/>
      <c r="Q19" s="271"/>
      <c r="R19" s="266"/>
      <c r="S19" s="266"/>
      <c r="T19" s="266"/>
      <c r="U19" s="273"/>
      <c r="V19" s="267">
        <f>SUBTOTAL(109,Table156172[اجمالي])</f>
        <v>1325</v>
      </c>
      <c r="W19" s="274">
        <f>Table156172[[#Totals],[اجمالي]]/$R$71</f>
        <v>0.00843361592205582</v>
      </c>
      <c r="X19" s="203"/>
      <c r="Y19" s="203" t="s">
        <v>120</v>
      </c>
      <c r="Z19" s="203">
        <v>500</v>
      </c>
      <c r="AA19" s="203">
        <v>200</v>
      </c>
      <c r="AB19" s="203">
        <v>100</v>
      </c>
      <c r="AC19" s="203">
        <v>3500</v>
      </c>
      <c r="AD19" s="203">
        <v>5000</v>
      </c>
      <c r="AE19" s="203">
        <v>300</v>
      </c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498"/>
      <c r="AU19" s="203"/>
      <c r="AV19" s="490"/>
      <c r="AW19" s="475"/>
      <c r="AX19" s="475"/>
      <c r="AY19" s="475"/>
      <c r="AZ19" s="475"/>
      <c r="BA19" s="475"/>
      <c r="BG19" s="492" t="s">
        <v>88</v>
      </c>
      <c r="BH19" s="493"/>
      <c r="BI19" s="494" t="s">
        <v>88</v>
      </c>
      <c r="BJ19" s="495"/>
      <c r="BK19" s="495"/>
      <c r="BL19" s="499"/>
      <c r="BM19" s="492"/>
      <c r="BN19" s="492"/>
      <c r="BO19" s="492"/>
      <c r="BP19" s="500"/>
      <c r="BQ19" s="497">
        <f>SUBTOTAL(109,Table15617282[اجمالي])</f>
        <v>725</v>
      </c>
      <c r="BR19" s="501">
        <f>Table15617282[[#Totals],[اجمالي]]/$R$71</f>
        <v>0.0046146200328229959</v>
      </c>
      <c r="BS19" s="203"/>
      <c r="BT19" s="203" t="s">
        <v>120</v>
      </c>
      <c r="BU19" s="203">
        <v>500</v>
      </c>
      <c r="BV19" s="203">
        <v>200</v>
      </c>
      <c r="BW19" s="203">
        <v>100</v>
      </c>
      <c r="BX19" s="203">
        <v>3500</v>
      </c>
      <c r="BY19" s="203">
        <v>5000</v>
      </c>
      <c r="BZ19" s="203">
        <v>300</v>
      </c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498"/>
    </row>
    <row r="20" ht="18.75">
      <c r="A20" s="490" t="s">
        <v>432</v>
      </c>
      <c r="B20" s="475" t="s">
        <v>433</v>
      </c>
      <c r="C20" s="475">
        <f>C19</f>
        <v>11</v>
      </c>
      <c r="D20" s="475" t="s">
        <v>62</v>
      </c>
      <c r="E20" s="475">
        <v>100</v>
      </c>
      <c r="F20" s="475">
        <f>E20*C20</f>
        <v>1100</v>
      </c>
      <c r="L20" s="203"/>
      <c r="M20" s="203"/>
      <c r="N20" s="231"/>
      <c r="O20" s="629" t="s">
        <v>132</v>
      </c>
      <c r="P20" s="629"/>
      <c r="Q20" s="629"/>
      <c r="R20" s="629"/>
      <c r="S20" s="629"/>
      <c r="T20" s="629"/>
      <c r="U20" s="203"/>
      <c r="V20" s="203"/>
      <c r="W20" s="203"/>
      <c r="X20" s="203"/>
      <c r="Y20" s="203" t="s">
        <v>122</v>
      </c>
      <c r="Z20" s="203">
        <v>550</v>
      </c>
      <c r="AA20" s="203">
        <v>200</v>
      </c>
      <c r="AB20" s="203">
        <v>100</v>
      </c>
      <c r="AC20" s="203">
        <v>4500</v>
      </c>
      <c r="AD20" s="203">
        <v>6000</v>
      </c>
      <c r="AE20" s="203">
        <v>300</v>
      </c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498"/>
      <c r="AU20" s="203"/>
      <c r="AV20" s="504"/>
      <c r="BG20" s="203"/>
      <c r="BH20" s="203"/>
      <c r="BI20" s="231"/>
      <c r="BJ20" s="629" t="s">
        <v>132</v>
      </c>
      <c r="BK20" s="629"/>
      <c r="BL20" s="629"/>
      <c r="BM20" s="629"/>
      <c r="BN20" s="629"/>
      <c r="BO20" s="629"/>
      <c r="BP20" s="203"/>
      <c r="BQ20" s="203"/>
      <c r="BR20" s="203"/>
      <c r="BS20" s="203"/>
      <c r="BT20" s="203" t="s">
        <v>122</v>
      </c>
      <c r="BU20" s="203">
        <v>550</v>
      </c>
      <c r="BV20" s="203">
        <v>200</v>
      </c>
      <c r="BW20" s="203">
        <v>100</v>
      </c>
      <c r="BX20" s="203">
        <v>4500</v>
      </c>
      <c r="BY20" s="203">
        <v>6000</v>
      </c>
      <c r="BZ20" s="203">
        <v>300</v>
      </c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498"/>
    </row>
    <row r="21" ht="18.75">
      <c r="A21" s="490" t="s">
        <v>434</v>
      </c>
      <c r="B21" s="475" t="s">
        <v>62</v>
      </c>
      <c r="C21" s="475">
        <v>2</v>
      </c>
      <c r="D21" s="475" t="s">
        <v>62</v>
      </c>
      <c r="E21" s="475">
        <v>300</v>
      </c>
      <c r="F21" s="475">
        <f>E21*C21</f>
        <v>600</v>
      </c>
      <c r="L21" s="205" t="s">
        <v>61</v>
      </c>
      <c r="M21" s="205" t="s">
        <v>62</v>
      </c>
      <c r="N21" s="233" t="s">
        <v>63</v>
      </c>
      <c r="O21" s="205" t="s">
        <v>64</v>
      </c>
      <c r="P21" s="205" t="s">
        <v>43</v>
      </c>
      <c r="Q21" s="205" t="s">
        <v>95</v>
      </c>
      <c r="R21" s="205" t="s">
        <v>66</v>
      </c>
      <c r="S21" s="205" t="s">
        <v>67</v>
      </c>
      <c r="T21" s="205" t="s">
        <v>110</v>
      </c>
      <c r="U21" s="205" t="s">
        <v>69</v>
      </c>
      <c r="V21" s="234" t="s">
        <v>70</v>
      </c>
      <c r="W21" s="205" t="s">
        <v>71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498"/>
      <c r="AU21" s="203"/>
      <c r="AV21" s="504"/>
      <c r="BG21" s="205" t="s">
        <v>61</v>
      </c>
      <c r="BH21" s="205" t="s">
        <v>62</v>
      </c>
      <c r="BI21" s="233" t="s">
        <v>63</v>
      </c>
      <c r="BJ21" s="205" t="s">
        <v>64</v>
      </c>
      <c r="BK21" s="205" t="s">
        <v>43</v>
      </c>
      <c r="BL21" s="205" t="s">
        <v>95</v>
      </c>
      <c r="BM21" s="205" t="s">
        <v>66</v>
      </c>
      <c r="BN21" s="205" t="s">
        <v>67</v>
      </c>
      <c r="BO21" s="205" t="s">
        <v>110</v>
      </c>
      <c r="BP21" s="205" t="s">
        <v>69</v>
      </c>
      <c r="BQ21" s="234" t="s">
        <v>70</v>
      </c>
      <c r="BR21" s="205" t="s">
        <v>71</v>
      </c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498"/>
    </row>
    <row r="22" ht="18.75">
      <c r="A22" s="490" t="s">
        <v>240</v>
      </c>
      <c r="B22" s="475" t="s">
        <v>62</v>
      </c>
      <c r="C22" s="475">
        <v>1</v>
      </c>
      <c r="D22" s="475" t="s">
        <v>62</v>
      </c>
      <c r="E22" s="475">
        <v>5000</v>
      </c>
      <c r="F22" s="475">
        <f>E22*C22</f>
        <v>5000</v>
      </c>
      <c r="L22" s="492"/>
      <c r="M22" s="493">
        <f>IF((I1="قواعد عادية"),0,2)</f>
        <v>2</v>
      </c>
      <c r="N22" s="206" t="s">
        <v>134</v>
      </c>
      <c r="O22" s="495">
        <v>0.4</v>
      </c>
      <c r="P22" s="495">
        <v>0.4</v>
      </c>
      <c r="Q22" s="205">
        <f>(Table166273[[#This Row],[Column1]]+Table166273[[#This Row],[Column2]])*12</f>
        <v>9.6000000000000014</v>
      </c>
      <c r="R22" s="492"/>
      <c r="S22" s="492">
        <v>12</v>
      </c>
      <c r="T22" s="492"/>
      <c r="U22" s="502">
        <f>S22*$S$2/1000</f>
        <v>552</v>
      </c>
      <c r="V22" s="497">
        <f>M22*U22</f>
        <v>1104</v>
      </c>
      <c r="W22" s="503">
        <f>(V22)/$R$71</f>
        <v>0.0070269524361883974</v>
      </c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498"/>
      <c r="AU22" s="203"/>
      <c r="AV22" s="504"/>
      <c r="BG22" s="492">
        <v>1</v>
      </c>
      <c r="BH22" s="493">
        <f>IF((BD1="بالتات"),2,0)</f>
        <v>2</v>
      </c>
      <c r="BI22" s="206" t="s">
        <v>134</v>
      </c>
      <c r="BJ22" s="495">
        <v>0.4</v>
      </c>
      <c r="BK22" s="495">
        <v>0.4</v>
      </c>
      <c r="BL22" s="205">
        <f>(Table16627383[[#This Row],[Column1]]+Table16627383[[#This Row],[Column2]])*12</f>
        <v>9.6000000000000014</v>
      </c>
      <c r="BM22" s="492"/>
      <c r="BN22" s="492">
        <v>12</v>
      </c>
      <c r="BO22" s="492"/>
      <c r="BP22" s="502">
        <f>BN22*$S$2/1000</f>
        <v>552</v>
      </c>
      <c r="BQ22" s="497">
        <f>BH22*BP22</f>
        <v>1104</v>
      </c>
      <c r="BR22" s="503">
        <f>(BQ22)/$R$71</f>
        <v>0.0070269524361883974</v>
      </c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498"/>
    </row>
    <row r="23" ht="18.75">
      <c r="A23" s="490" t="s">
        <v>88</v>
      </c>
      <c r="B23" s="478">
        <f>(Table80[[#Totals],[price]]*1.1)/(F1*D1/10000)</f>
        <v>6250.618</v>
      </c>
      <c r="C23" s="475"/>
      <c r="D23" s="475"/>
      <c r="E23" s="475"/>
      <c r="F23" s="475">
        <f>SUBTOTAL(109,Table80[price])</f>
        <v>113647.6</v>
      </c>
      <c r="L23" s="205">
        <v>3</v>
      </c>
      <c r="M23" s="201">
        <v>2</v>
      </c>
      <c r="N23" s="206" t="s">
        <v>308</v>
      </c>
      <c r="O23" s="227">
        <v>0.3</v>
      </c>
      <c r="P23" s="227">
        <v>0.3</v>
      </c>
      <c r="Q23" s="227">
        <f>(Table166273[[#This Row],[Column1]]*Table166273[[#This Row],[Column2]])*2*Table166273[[#This Row],[عدد]]</f>
        <v>0.36</v>
      </c>
      <c r="R23" s="228" t="s">
        <v>117</v>
      </c>
      <c r="S23" s="228">
        <v>7</v>
      </c>
      <c r="T23" s="205"/>
      <c r="U23" s="220">
        <f>S23*$S$2/1000</f>
        <v>322</v>
      </c>
      <c r="V23" s="221">
        <f>M23*U23</f>
        <v>644</v>
      </c>
      <c r="W23" s="222">
        <f>(V23)/$R$71</f>
        <v>0.0040990555877765652</v>
      </c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498"/>
      <c r="AU23" s="203"/>
      <c r="AV23" s="504"/>
      <c r="BG23" s="205">
        <v>2</v>
      </c>
      <c r="BH23" s="201">
        <v>2</v>
      </c>
      <c r="BI23" s="206" t="s">
        <v>308</v>
      </c>
      <c r="BJ23" s="227">
        <v>0.3</v>
      </c>
      <c r="BK23" s="227">
        <v>0.3</v>
      </c>
      <c r="BL23" s="227">
        <f>(Table16627383[[#This Row],[Column1]]*Table16627383[[#This Row],[Column2]])*2*Table16627383[[#This Row],[عدد]]</f>
        <v>0.36</v>
      </c>
      <c r="BM23" s="228" t="s">
        <v>117</v>
      </c>
      <c r="BN23" s="228">
        <v>7</v>
      </c>
      <c r="BO23" s="205"/>
      <c r="BP23" s="220">
        <f>BN23*$S$2/1000</f>
        <v>322</v>
      </c>
      <c r="BQ23" s="221">
        <f>BH23*BP23</f>
        <v>644</v>
      </c>
      <c r="BR23" s="222">
        <f>(BQ23)/$R$71</f>
        <v>0.0040990555877765652</v>
      </c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498"/>
    </row>
    <row r="24" ht="18.75">
      <c r="A24" s="504"/>
      <c r="L24" s="205">
        <v>8</v>
      </c>
      <c r="M24" s="218">
        <f>M22*4</f>
        <v>8</v>
      </c>
      <c r="N24" s="219" t="s">
        <v>135</v>
      </c>
      <c r="O24" s="204">
        <v>0.1</v>
      </c>
      <c r="P24" s="204">
        <v>0.1</v>
      </c>
      <c r="Q24" s="227">
        <f>(Table166273[[#This Row],[Column1]]*Table166273[[#This Row],[Column2]])*Table166273[[#This Row],[عدد]]</f>
        <v>0.080000000000000016</v>
      </c>
      <c r="R24" s="205" t="s">
        <v>117</v>
      </c>
      <c r="S24" s="205">
        <v>0.75</v>
      </c>
      <c r="T24" s="205"/>
      <c r="U24" s="220">
        <f>S24*$S$2/1000</f>
        <v>34.5</v>
      </c>
      <c r="V24" s="221">
        <f>M24*U24</f>
        <v>276</v>
      </c>
      <c r="W24" s="253">
        <f>(V24)/$R$71</f>
        <v>0.0017567381090470994</v>
      </c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498"/>
      <c r="AU24" s="203"/>
      <c r="AV24" s="504"/>
      <c r="BG24" s="205">
        <v>3</v>
      </c>
      <c r="BH24" s="218">
        <f>BH22*4</f>
        <v>8</v>
      </c>
      <c r="BI24" s="219" t="s">
        <v>135</v>
      </c>
      <c r="BJ24" s="204">
        <v>0.1</v>
      </c>
      <c r="BK24" s="204">
        <v>0.1</v>
      </c>
      <c r="BL24" s="227">
        <f>(Table16627383[[#This Row],[Column1]]*Table16627383[[#This Row],[Column2]])*Table16627383[[#This Row],[عدد]]</f>
        <v>0.080000000000000016</v>
      </c>
      <c r="BM24" s="205" t="s">
        <v>117</v>
      </c>
      <c r="BN24" s="205">
        <v>0.75</v>
      </c>
      <c r="BO24" s="205"/>
      <c r="BP24" s="220">
        <f>BN24*$S$2/1000</f>
        <v>34.5</v>
      </c>
      <c r="BQ24" s="221">
        <f>BH24*BP24</f>
        <v>276</v>
      </c>
      <c r="BR24" s="253">
        <f>(BQ24)/$R$71</f>
        <v>0.0017567381090470994</v>
      </c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498"/>
    </row>
    <row r="25" ht="18.75">
      <c r="A25" s="504"/>
      <c r="L25" s="492" t="s">
        <v>88</v>
      </c>
      <c r="M25" s="493">
        <f>SUBTOTAL(103,Table166273[عدد])</f>
        <v>3</v>
      </c>
      <c r="N25" s="494" t="s">
        <v>88</v>
      </c>
      <c r="O25" s="495"/>
      <c r="P25" s="495"/>
      <c r="Q25" s="499">
        <f>SUBTOTAL(109,Table166273[Column12])</f>
        <v>10.040000000000001</v>
      </c>
      <c r="R25" s="492"/>
      <c r="S25" s="492">
        <f>(S23*M23)+(M24*S24)</f>
        <v>20</v>
      </c>
      <c r="T25" s="492"/>
      <c r="U25" s="500"/>
      <c r="V25" s="497">
        <f>SUBTOTAL(109,Table166273[اجمالي])</f>
        <v>2024</v>
      </c>
      <c r="W25" s="501">
        <f>Table166273[[#Totals],[اجمالي]]/$R$71</f>
        <v>0.012882746133012062</v>
      </c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498"/>
      <c r="AU25" s="203"/>
      <c r="AV25" s="504"/>
      <c r="BG25" s="492" t="s">
        <v>88</v>
      </c>
      <c r="BH25" s="493">
        <f>SUBTOTAL(103,Table16627383[عدد])</f>
        <v>3</v>
      </c>
      <c r="BI25" s="494" t="s">
        <v>88</v>
      </c>
      <c r="BJ25" s="495"/>
      <c r="BK25" s="495"/>
      <c r="BL25" s="499">
        <f>SUBTOTAL(109,Table16627383[Column12])</f>
        <v>10.040000000000001</v>
      </c>
      <c r="BM25" s="492"/>
      <c r="BN25" s="492">
        <f>(BN23*BH23)+(BH24*BN24)</f>
        <v>20</v>
      </c>
      <c r="BO25" s="492"/>
      <c r="BP25" s="500"/>
      <c r="BQ25" s="497">
        <f>SUBTOTAL(109,Table16627383[اجمالي])</f>
        <v>2024</v>
      </c>
      <c r="BR25" s="501">
        <f>Table16627383[[#Totals],[اجمالي]]/$R$71</f>
        <v>0.012882746133012062</v>
      </c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498"/>
    </row>
    <row r="26" ht="18.75">
      <c r="A26" s="504"/>
      <c r="L26" s="203"/>
      <c r="M26" s="203"/>
      <c r="N26" s="231"/>
      <c r="O26" s="629" t="s">
        <v>136</v>
      </c>
      <c r="P26" s="629"/>
      <c r="Q26" s="629"/>
      <c r="R26" s="629"/>
      <c r="S26" s="629"/>
      <c r="T26" s="629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498"/>
      <c r="AU26" s="203"/>
      <c r="AV26" s="504"/>
      <c r="BG26" s="203"/>
      <c r="BH26" s="203"/>
      <c r="BI26" s="231"/>
      <c r="BJ26" s="629" t="s">
        <v>136</v>
      </c>
      <c r="BK26" s="629"/>
      <c r="BL26" s="629"/>
      <c r="BM26" s="629"/>
      <c r="BN26" s="629"/>
      <c r="BO26" s="629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498"/>
    </row>
    <row r="27" ht="18.75">
      <c r="A27" s="504"/>
      <c r="L27" s="205" t="s">
        <v>61</v>
      </c>
      <c r="M27" s="205" t="s">
        <v>62</v>
      </c>
      <c r="N27" s="233" t="s">
        <v>63</v>
      </c>
      <c r="O27" s="205" t="s">
        <v>64</v>
      </c>
      <c r="P27" s="205" t="s">
        <v>43</v>
      </c>
      <c r="Q27" s="205" t="s">
        <v>95</v>
      </c>
      <c r="R27" s="205" t="s">
        <v>66</v>
      </c>
      <c r="S27" s="205" t="s">
        <v>67</v>
      </c>
      <c r="T27" s="205" t="s">
        <v>110</v>
      </c>
      <c r="U27" s="205" t="s">
        <v>69</v>
      </c>
      <c r="V27" s="234" t="s">
        <v>70</v>
      </c>
      <c r="W27" s="205" t="s">
        <v>71</v>
      </c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498"/>
      <c r="AU27" s="203"/>
      <c r="AV27" s="504"/>
      <c r="BG27" s="205" t="s">
        <v>61</v>
      </c>
      <c r="BH27" s="205" t="s">
        <v>62</v>
      </c>
      <c r="BI27" s="233" t="s">
        <v>63</v>
      </c>
      <c r="BJ27" s="205" t="s">
        <v>64</v>
      </c>
      <c r="BK27" s="205" t="s">
        <v>43</v>
      </c>
      <c r="BL27" s="205" t="s">
        <v>95</v>
      </c>
      <c r="BM27" s="205" t="s">
        <v>66</v>
      </c>
      <c r="BN27" s="205" t="s">
        <v>67</v>
      </c>
      <c r="BO27" s="205" t="s">
        <v>110</v>
      </c>
      <c r="BP27" s="205" t="s">
        <v>69</v>
      </c>
      <c r="BQ27" s="234" t="s">
        <v>70</v>
      </c>
      <c r="BR27" s="205" t="s">
        <v>71</v>
      </c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498"/>
    </row>
    <row r="28" ht="18.75">
      <c r="A28" s="504"/>
      <c r="L28" s="205">
        <v>3</v>
      </c>
      <c r="M28" s="255">
        <f>AM7/3</f>
        <v>2.2600000000000002</v>
      </c>
      <c r="N28" s="219" t="s">
        <v>144</v>
      </c>
      <c r="O28" s="204"/>
      <c r="P28" s="204"/>
      <c r="Q28" s="204"/>
      <c r="R28" s="205" t="s">
        <v>145</v>
      </c>
      <c r="S28" s="205"/>
      <c r="T28" s="205"/>
      <c r="U28" s="235">
        <v>250</v>
      </c>
      <c r="V28" s="221">
        <f ref="V28:V33" t="shared" si="8">M28*U28</f>
        <v>565.00000000000011</v>
      </c>
      <c r="W28" s="222">
        <f ref="W28:W45" t="shared" si="9" ca="1">(V28)/$R$71</f>
        <v>0.003596221129027577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498"/>
      <c r="AU28" s="203"/>
      <c r="AV28" s="504"/>
      <c r="BG28" s="205">
        <v>1</v>
      </c>
      <c r="BH28" s="255">
        <f>CH7/3</f>
        <v>2</v>
      </c>
      <c r="BI28" s="219" t="s">
        <v>144</v>
      </c>
      <c r="BJ28" s="204"/>
      <c r="BK28" s="204"/>
      <c r="BL28" s="204"/>
      <c r="BM28" s="205" t="s">
        <v>145</v>
      </c>
      <c r="BN28" s="205"/>
      <c r="BO28" s="205"/>
      <c r="BP28" s="235">
        <v>250</v>
      </c>
      <c r="BQ28" s="221">
        <f ref="BQ28:BQ45" t="shared" si="10">BH28*BP28</f>
        <v>500</v>
      </c>
      <c r="BR28" s="222">
        <f ref="BR28:BR45" t="shared" si="11" ca="1">(BQ28)/$R$71</f>
        <v>0.003182496574360687</v>
      </c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498"/>
    </row>
    <row r="29" ht="18.75">
      <c r="A29" s="504"/>
      <c r="L29" s="205">
        <v>4</v>
      </c>
      <c r="M29" s="201">
        <v>3</v>
      </c>
      <c r="N29" s="233" t="s">
        <v>137</v>
      </c>
      <c r="O29" s="205"/>
      <c r="P29" s="205"/>
      <c r="Q29" s="205"/>
      <c r="R29" s="205" t="s">
        <v>138</v>
      </c>
      <c r="S29" s="205"/>
      <c r="T29" s="205"/>
      <c r="U29" s="235">
        <v>18</v>
      </c>
      <c r="V29" s="221">
        <f t="shared" si="8"/>
        <v>54</v>
      </c>
      <c r="W29" s="222">
        <f t="shared" si="9" ca="1"/>
        <v>0.0003437096300309542</v>
      </c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498"/>
      <c r="AU29" s="203"/>
      <c r="AV29" s="504"/>
      <c r="BG29" s="205">
        <v>2</v>
      </c>
      <c r="BH29" s="201">
        <v>3</v>
      </c>
      <c r="BI29" s="233" t="s">
        <v>137</v>
      </c>
      <c r="BJ29" s="205"/>
      <c r="BK29" s="205"/>
      <c r="BL29" s="205"/>
      <c r="BM29" s="205" t="s">
        <v>138</v>
      </c>
      <c r="BN29" s="205"/>
      <c r="BO29" s="205"/>
      <c r="BP29" s="235">
        <v>18</v>
      </c>
      <c r="BQ29" s="221">
        <f t="shared" si="10"/>
        <v>54</v>
      </c>
      <c r="BR29" s="222">
        <f t="shared" si="11" ca="1"/>
        <v>0.0003437096300309542</v>
      </c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498"/>
    </row>
    <row r="30" ht="18.75">
      <c r="A30" s="504"/>
      <c r="L30" s="205">
        <v>5</v>
      </c>
      <c r="M30" s="218">
        <v>3</v>
      </c>
      <c r="N30" s="233" t="s">
        <v>139</v>
      </c>
      <c r="O30" s="205"/>
      <c r="P30" s="205"/>
      <c r="Q30" s="205"/>
      <c r="R30" s="205" t="s">
        <v>138</v>
      </c>
      <c r="S30" s="205"/>
      <c r="T30" s="205"/>
      <c r="U30" s="235">
        <v>18</v>
      </c>
      <c r="V30" s="221">
        <f t="shared" si="8"/>
        <v>54</v>
      </c>
      <c r="W30" s="222">
        <f t="shared" si="9" ca="1"/>
        <v>0.0003437096300309542</v>
      </c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498"/>
      <c r="AU30" s="203"/>
      <c r="AV30" s="504"/>
      <c r="BG30" s="205">
        <v>3</v>
      </c>
      <c r="BH30" s="218">
        <v>3</v>
      </c>
      <c r="BI30" s="233" t="s">
        <v>139</v>
      </c>
      <c r="BJ30" s="205"/>
      <c r="BK30" s="205"/>
      <c r="BL30" s="205"/>
      <c r="BM30" s="205" t="s">
        <v>138</v>
      </c>
      <c r="BN30" s="205"/>
      <c r="BO30" s="205"/>
      <c r="BP30" s="235">
        <v>18</v>
      </c>
      <c r="BQ30" s="221">
        <f t="shared" si="10"/>
        <v>54</v>
      </c>
      <c r="BR30" s="222">
        <f t="shared" si="11" ca="1"/>
        <v>0.0003437096300309542</v>
      </c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498"/>
    </row>
    <row r="31" ht="18.75">
      <c r="A31" s="504"/>
      <c r="L31" s="205">
        <v>6</v>
      </c>
      <c r="M31" s="201">
        <v>1</v>
      </c>
      <c r="N31" s="219" t="s">
        <v>140</v>
      </c>
      <c r="O31" s="204"/>
      <c r="P31" s="204"/>
      <c r="Q31" s="204"/>
      <c r="R31" s="205" t="s">
        <v>141</v>
      </c>
      <c r="S31" s="205"/>
      <c r="T31" s="205"/>
      <c r="U31" s="235">
        <v>25</v>
      </c>
      <c r="V31" s="221">
        <f t="shared" si="8"/>
        <v>25</v>
      </c>
      <c r="W31" s="222">
        <f t="shared" si="9" ca="1"/>
        <v>0.00015912482871803434</v>
      </c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498"/>
      <c r="AU31" s="203"/>
      <c r="AV31" s="504"/>
      <c r="BG31" s="205">
        <v>4</v>
      </c>
      <c r="BH31" s="201">
        <v>1</v>
      </c>
      <c r="BI31" s="219" t="s">
        <v>140</v>
      </c>
      <c r="BJ31" s="204"/>
      <c r="BK31" s="204"/>
      <c r="BL31" s="204"/>
      <c r="BM31" s="205" t="s">
        <v>141</v>
      </c>
      <c r="BN31" s="205"/>
      <c r="BO31" s="205"/>
      <c r="BP31" s="235">
        <v>25</v>
      </c>
      <c r="BQ31" s="221">
        <f t="shared" si="10"/>
        <v>25</v>
      </c>
      <c r="BR31" s="222">
        <f t="shared" si="11" ca="1"/>
        <v>0.00015912482871803434</v>
      </c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498"/>
    </row>
    <row r="32" ht="18.75">
      <c r="A32" s="504"/>
      <c r="L32" s="205">
        <v>7</v>
      </c>
      <c r="M32" s="218">
        <v>1</v>
      </c>
      <c r="N32" s="219" t="s">
        <v>142</v>
      </c>
      <c r="O32" s="204"/>
      <c r="P32" s="204"/>
      <c r="Q32" s="204"/>
      <c r="R32" s="205" t="s">
        <v>141</v>
      </c>
      <c r="S32" s="205"/>
      <c r="T32" s="205"/>
      <c r="U32" s="235">
        <v>150</v>
      </c>
      <c r="V32" s="221">
        <f t="shared" si="8"/>
        <v>150</v>
      </c>
      <c r="W32" s="222">
        <f t="shared" si="9" ca="1"/>
        <v>0.00095474897230820612</v>
      </c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498"/>
      <c r="AU32" s="203"/>
      <c r="AV32" s="504"/>
      <c r="BG32" s="205">
        <v>5</v>
      </c>
      <c r="BH32" s="218">
        <v>1</v>
      </c>
      <c r="BI32" s="219" t="s">
        <v>142</v>
      </c>
      <c r="BJ32" s="204"/>
      <c r="BK32" s="204"/>
      <c r="BL32" s="204"/>
      <c r="BM32" s="205" t="s">
        <v>141</v>
      </c>
      <c r="BN32" s="205"/>
      <c r="BO32" s="205"/>
      <c r="BP32" s="235">
        <v>150</v>
      </c>
      <c r="BQ32" s="221">
        <f t="shared" si="10"/>
        <v>150</v>
      </c>
      <c r="BR32" s="222">
        <f t="shared" si="11" ca="1"/>
        <v>0.00095474897230820612</v>
      </c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498"/>
    </row>
    <row r="33" ht="18.75">
      <c r="A33" s="504"/>
      <c r="L33" s="205">
        <v>8</v>
      </c>
      <c r="M33" s="201">
        <v>2</v>
      </c>
      <c r="N33" s="219" t="s">
        <v>143</v>
      </c>
      <c r="O33" s="204"/>
      <c r="P33" s="204"/>
      <c r="Q33" s="204"/>
      <c r="R33" s="205" t="s">
        <v>117</v>
      </c>
      <c r="S33" s="205"/>
      <c r="T33" s="205"/>
      <c r="U33" s="235">
        <v>40</v>
      </c>
      <c r="V33" s="221">
        <f t="shared" si="8"/>
        <v>80</v>
      </c>
      <c r="W33" s="222">
        <f t="shared" si="9" ca="1"/>
        <v>0.0005091994518977099</v>
      </c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498"/>
      <c r="AU33" s="203"/>
      <c r="AV33" s="504"/>
      <c r="BG33" s="205">
        <v>6</v>
      </c>
      <c r="BH33" s="201">
        <v>2</v>
      </c>
      <c r="BI33" s="219" t="s">
        <v>143</v>
      </c>
      <c r="BJ33" s="204"/>
      <c r="BK33" s="204"/>
      <c r="BL33" s="204"/>
      <c r="BM33" s="205" t="s">
        <v>117</v>
      </c>
      <c r="BN33" s="205"/>
      <c r="BO33" s="205"/>
      <c r="BP33" s="235">
        <v>40</v>
      </c>
      <c r="BQ33" s="221">
        <f t="shared" si="10"/>
        <v>80</v>
      </c>
      <c r="BR33" s="222">
        <f t="shared" si="11" ca="1"/>
        <v>0.0005091994518977099</v>
      </c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498"/>
    </row>
    <row r="34" ht="18.75">
      <c r="A34" s="504"/>
      <c r="L34" s="205"/>
      <c r="M34" s="201">
        <f>ROUNDUP(AM5,0)</f>
        <v>11</v>
      </c>
      <c r="N34" s="219" t="s">
        <v>74</v>
      </c>
      <c r="O34" s="204"/>
      <c r="P34" s="204"/>
      <c r="Q34" s="204"/>
      <c r="R34" s="205"/>
      <c r="S34" s="205"/>
      <c r="T34" s="205"/>
      <c r="U34" s="235">
        <v>140</v>
      </c>
      <c r="V34" s="221">
        <f ref="V34:V45" t="shared" si="12">M34*U34</f>
        <v>1540</v>
      </c>
      <c r="W34" s="253">
        <f t="shared" si="9" ca="1"/>
        <v>0.0098020894490309166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498"/>
      <c r="AU34" s="203"/>
      <c r="AV34" s="504"/>
      <c r="BG34" s="205">
        <v>7</v>
      </c>
      <c r="BH34" s="201">
        <f>ROUNDUP(CH5,0)</f>
        <v>10</v>
      </c>
      <c r="BI34" s="219" t="s">
        <v>74</v>
      </c>
      <c r="BJ34" s="204"/>
      <c r="BK34" s="204"/>
      <c r="BL34" s="204"/>
      <c r="BM34" s="205"/>
      <c r="BN34" s="205"/>
      <c r="BO34" s="205"/>
      <c r="BP34" s="235">
        <v>140</v>
      </c>
      <c r="BQ34" s="221">
        <f t="shared" si="10"/>
        <v>1400</v>
      </c>
      <c r="BR34" s="253">
        <f t="shared" si="11" ca="1"/>
        <v>0.008910990408209923</v>
      </c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498"/>
    </row>
    <row r="35" ht="18.75">
      <c r="A35" s="504"/>
      <c r="L35" s="205"/>
      <c r="M35" s="201">
        <f ref="M35:M36" t="shared" si="13">ROUNDUP(AM6,0)</f>
        <v>7</v>
      </c>
      <c r="N35" s="219" t="s">
        <v>79</v>
      </c>
      <c r="O35" s="204"/>
      <c r="P35" s="204"/>
      <c r="Q35" s="204"/>
      <c r="R35" s="205"/>
      <c r="S35" s="205"/>
      <c r="T35" s="205"/>
      <c r="U35" s="235">
        <v>40</v>
      </c>
      <c r="V35" s="221">
        <f t="shared" si="12"/>
        <v>280</v>
      </c>
      <c r="W35" s="253">
        <f t="shared" si="9" ca="1"/>
        <v>0.0017821980816419847</v>
      </c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498"/>
      <c r="AU35" s="203"/>
      <c r="AV35" s="504"/>
      <c r="BG35" s="205">
        <v>8</v>
      </c>
      <c r="BH35" s="201">
        <f ref="BH35:BH36" t="shared" si="14">ROUNDUP(CH6,0)</f>
        <v>7</v>
      </c>
      <c r="BI35" s="219" t="s">
        <v>79</v>
      </c>
      <c r="BJ35" s="204"/>
      <c r="BK35" s="204"/>
      <c r="BL35" s="204"/>
      <c r="BM35" s="205"/>
      <c r="BN35" s="205"/>
      <c r="BO35" s="205"/>
      <c r="BP35" s="235">
        <v>40</v>
      </c>
      <c r="BQ35" s="221">
        <f t="shared" si="10"/>
        <v>280</v>
      </c>
      <c r="BR35" s="253">
        <f t="shared" si="11" ca="1"/>
        <v>0.0017821980816419847</v>
      </c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498"/>
    </row>
    <row r="36" ht="18.75">
      <c r="A36" s="504"/>
      <c r="L36" s="205"/>
      <c r="M36" s="201">
        <f t="shared" si="13"/>
        <v>7</v>
      </c>
      <c r="N36" s="219" t="s">
        <v>87</v>
      </c>
      <c r="O36" s="204"/>
      <c r="P36" s="204"/>
      <c r="Q36" s="204"/>
      <c r="R36" s="205"/>
      <c r="S36" s="205"/>
      <c r="T36" s="205"/>
      <c r="U36" s="235">
        <v>400</v>
      </c>
      <c r="V36" s="221">
        <f t="shared" si="12"/>
        <v>2800</v>
      </c>
      <c r="W36" s="253">
        <f t="shared" si="9" ca="1"/>
        <v>0.017821980816419846</v>
      </c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498"/>
      <c r="AU36" s="203"/>
      <c r="AV36" s="504"/>
      <c r="BG36" s="205">
        <v>9</v>
      </c>
      <c r="BH36" s="201">
        <f t="shared" si="14"/>
        <v>6</v>
      </c>
      <c r="BI36" s="219" t="s">
        <v>87</v>
      </c>
      <c r="BJ36" s="204"/>
      <c r="BK36" s="204"/>
      <c r="BL36" s="204"/>
      <c r="BM36" s="205"/>
      <c r="BN36" s="205"/>
      <c r="BO36" s="205"/>
      <c r="BP36" s="235">
        <v>400</v>
      </c>
      <c r="BQ36" s="221">
        <f t="shared" si="10"/>
        <v>2400</v>
      </c>
      <c r="BR36" s="253">
        <f t="shared" si="11" ca="1"/>
        <v>0.015275983556931298</v>
      </c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498"/>
    </row>
    <row r="37" ht="18.75">
      <c r="A37" s="504"/>
      <c r="L37" s="205"/>
      <c r="M37" s="201"/>
      <c r="N37" s="219"/>
      <c r="O37" s="204"/>
      <c r="P37" s="204"/>
      <c r="Q37" s="204"/>
      <c r="R37" s="205"/>
      <c r="S37" s="205"/>
      <c r="T37" s="205"/>
      <c r="U37" s="235"/>
      <c r="V37" s="221">
        <f t="shared" si="12"/>
        <v>0</v>
      </c>
      <c r="W37" s="253">
        <f t="shared" si="9" ca="1"/>
        <v>0</v>
      </c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498"/>
      <c r="AU37" s="203"/>
      <c r="AV37" s="504"/>
      <c r="BG37" s="205">
        <v>10</v>
      </c>
      <c r="BH37" s="201"/>
      <c r="BI37" s="219"/>
      <c r="BJ37" s="204"/>
      <c r="BK37" s="204"/>
      <c r="BL37" s="204"/>
      <c r="BM37" s="205"/>
      <c r="BN37" s="205"/>
      <c r="BO37" s="205"/>
      <c r="BP37" s="235"/>
      <c r="BQ37" s="221">
        <f t="shared" si="10"/>
        <v>0</v>
      </c>
      <c r="BR37" s="253">
        <f t="shared" si="11" ca="1"/>
        <v>0</v>
      </c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498"/>
    </row>
    <row r="38" ht="18.75">
      <c r="A38" s="504"/>
      <c r="L38" s="205"/>
      <c r="M38" s="218">
        <f>IF((تسعير!AT5="B"),(Table15880[[#Totals],[الوزن]]+Table166273[[#Totals],[الوزن]]),0)</f>
        <v>0</v>
      </c>
      <c r="N38" s="219" t="s">
        <v>149</v>
      </c>
      <c r="O38" s="204"/>
      <c r="P38" s="204"/>
      <c r="Q38" s="204"/>
      <c r="R38" s="205"/>
      <c r="S38" s="205"/>
      <c r="T38" s="205"/>
      <c r="U38" s="235">
        <v>20</v>
      </c>
      <c r="V38" s="221">
        <f t="shared" si="12"/>
        <v>0</v>
      </c>
      <c r="W38" s="253">
        <f t="shared" si="9" ca="1"/>
        <v>0</v>
      </c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498"/>
      <c r="AU38" s="203"/>
      <c r="AV38" s="504"/>
      <c r="BG38" s="205">
        <v>11</v>
      </c>
      <c r="BH38" s="218">
        <f>IF((تسعير!AT45="B"),(Table1588090[[#Totals],[الوزن]]+Table16627383[[#Totals],[الوزن]]),0)</f>
        <v>0</v>
      </c>
      <c r="BI38" s="219" t="s">
        <v>149</v>
      </c>
      <c r="BJ38" s="204"/>
      <c r="BK38" s="204"/>
      <c r="BL38" s="204"/>
      <c r="BM38" s="205"/>
      <c r="BN38" s="205"/>
      <c r="BO38" s="205"/>
      <c r="BP38" s="235">
        <v>20</v>
      </c>
      <c r="BQ38" s="221">
        <f t="shared" si="10"/>
        <v>0</v>
      </c>
      <c r="BR38" s="253">
        <f t="shared" si="11" ca="1"/>
        <v>0</v>
      </c>
      <c r="BS38" s="203"/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498"/>
    </row>
    <row r="39" ht="18.75">
      <c r="A39" s="504"/>
      <c r="L39" s="205"/>
      <c r="M39" s="218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9" t="s">
        <v>94</v>
      </c>
      <c r="O39" s="204"/>
      <c r="P39" s="204"/>
      <c r="Q39" s="204"/>
      <c r="R39" s="205" t="s">
        <v>150</v>
      </c>
      <c r="S39" s="205"/>
      <c r="T39" s="205"/>
      <c r="U39" s="235">
        <f>Sheet2!B18</f>
        <v>300</v>
      </c>
      <c r="V39" s="221">
        <f t="shared" si="12"/>
        <v>0</v>
      </c>
      <c r="W39" s="253">
        <f t="shared" si="9" ca="1"/>
        <v>0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498"/>
      <c r="AU39" s="203"/>
      <c r="AV39" s="504"/>
      <c r="BG39" s="205">
        <v>12</v>
      </c>
      <c r="BH39" s="218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9" s="219" t="s">
        <v>94</v>
      </c>
      <c r="BJ39" s="204"/>
      <c r="BK39" s="204"/>
      <c r="BL39" s="204"/>
      <c r="BM39" s="205" t="s">
        <v>150</v>
      </c>
      <c r="BN39" s="205"/>
      <c r="BO39" s="205"/>
      <c r="BP39" s="235">
        <f>Sheet2!AW18</f>
        <v>0</v>
      </c>
      <c r="BQ39" s="221">
        <f t="shared" si="10"/>
        <v>0</v>
      </c>
      <c r="BR39" s="253">
        <f t="shared" si="11" ca="1"/>
        <v>0</v>
      </c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3"/>
      <c r="CM39" s="203"/>
      <c r="CN39" s="203"/>
      <c r="CO39" s="498"/>
    </row>
    <row r="40" ht="18.75">
      <c r="A40" s="504"/>
      <c r="L40" s="205"/>
      <c r="M40" s="218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33" t="s">
        <v>97</v>
      </c>
      <c r="O40" s="204"/>
      <c r="P40" s="204"/>
      <c r="Q40" s="204"/>
      <c r="R40" s="233" t="s">
        <v>151</v>
      </c>
      <c r="S40" s="205"/>
      <c r="T40" s="205"/>
      <c r="U40" s="235">
        <f>Sheet2!B19</f>
        <v>250</v>
      </c>
      <c r="V40" s="221">
        <f t="shared" si="12"/>
        <v>0</v>
      </c>
      <c r="W40" s="253">
        <f t="shared" si="9" ca="1"/>
        <v>0</v>
      </c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498"/>
      <c r="AU40" s="203"/>
      <c r="AV40" s="504"/>
      <c r="BG40" s="205">
        <v>13</v>
      </c>
      <c r="BH40" s="218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40" s="233" t="s">
        <v>97</v>
      </c>
      <c r="BJ40" s="204"/>
      <c r="BK40" s="204"/>
      <c r="BL40" s="204"/>
      <c r="BM40" s="233" t="s">
        <v>151</v>
      </c>
      <c r="BN40" s="205"/>
      <c r="BO40" s="205"/>
      <c r="BP40" s="235">
        <f>Sheet2!AW19</f>
        <v>0</v>
      </c>
      <c r="BQ40" s="221">
        <f t="shared" si="10"/>
        <v>0</v>
      </c>
      <c r="BR40" s="253">
        <f t="shared" si="11" ca="1"/>
        <v>0</v>
      </c>
      <c r="BS40" s="203"/>
      <c r="BT40" s="203"/>
      <c r="BU40" s="203"/>
      <c r="BV40" s="203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498"/>
    </row>
    <row r="41" ht="18.75">
      <c r="A41" s="504"/>
      <c r="L41" s="205"/>
      <c r="M41" s="218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33" t="s">
        <v>101</v>
      </c>
      <c r="O41" s="204"/>
      <c r="P41" s="204"/>
      <c r="Q41" s="204"/>
      <c r="R41" s="233" t="s">
        <v>152</v>
      </c>
      <c r="S41" s="205"/>
      <c r="T41" s="205"/>
      <c r="U41" s="235">
        <f>Sheet2!B20</f>
        <v>375</v>
      </c>
      <c r="V41" s="221">
        <f t="shared" si="12"/>
        <v>0</v>
      </c>
      <c r="W41" s="253">
        <f t="shared" si="9" ca="1"/>
        <v>0</v>
      </c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498"/>
      <c r="AU41" s="203"/>
      <c r="AV41" s="504"/>
      <c r="BG41" s="205">
        <v>14</v>
      </c>
      <c r="BH41" s="218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1" s="233" t="s">
        <v>101</v>
      </c>
      <c r="BJ41" s="204"/>
      <c r="BK41" s="204"/>
      <c r="BL41" s="204"/>
      <c r="BM41" s="233" t="s">
        <v>152</v>
      </c>
      <c r="BN41" s="205"/>
      <c r="BO41" s="205"/>
      <c r="BP41" s="235">
        <f>Sheet2!AW20</f>
        <v>0</v>
      </c>
      <c r="BQ41" s="221">
        <f t="shared" si="10"/>
        <v>0</v>
      </c>
      <c r="BR41" s="253">
        <f t="shared" si="11" ca="1"/>
        <v>0</v>
      </c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498"/>
    </row>
    <row r="42" ht="18.75">
      <c r="A42" s="504"/>
      <c r="L42" s="205"/>
      <c r="M42" s="218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33" t="s">
        <v>104</v>
      </c>
      <c r="O42" s="204"/>
      <c r="P42" s="204"/>
      <c r="Q42" s="204"/>
      <c r="R42" s="233" t="s">
        <v>152</v>
      </c>
      <c r="S42" s="205"/>
      <c r="T42" s="205"/>
      <c r="U42" s="235">
        <f>Sheet2!B21</f>
        <v>455</v>
      </c>
      <c r="V42" s="221">
        <f t="shared" si="12"/>
        <v>0</v>
      </c>
      <c r="W42" s="253">
        <f t="shared" si="9" ca="1"/>
        <v>0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498"/>
      <c r="AU42" s="203"/>
      <c r="AV42" s="504"/>
      <c r="BG42" s="205">
        <v>15</v>
      </c>
      <c r="BH42" s="218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2" s="233" t="s">
        <v>104</v>
      </c>
      <c r="BJ42" s="204"/>
      <c r="BK42" s="204"/>
      <c r="BL42" s="204"/>
      <c r="BM42" s="233" t="s">
        <v>152</v>
      </c>
      <c r="BN42" s="205"/>
      <c r="BO42" s="205"/>
      <c r="BP42" s="235">
        <f>Sheet2!AW21</f>
        <v>0</v>
      </c>
      <c r="BQ42" s="221">
        <f t="shared" si="10"/>
        <v>0</v>
      </c>
      <c r="BR42" s="253">
        <f t="shared" si="11" ca="1"/>
        <v>0</v>
      </c>
      <c r="BS42" s="203"/>
      <c r="BT42" s="203"/>
      <c r="BU42" s="203"/>
      <c r="BV42" s="203"/>
      <c r="BW42" s="203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498"/>
    </row>
    <row r="43" ht="18.75">
      <c r="A43" s="504"/>
      <c r="L43" s="205"/>
      <c r="M43" s="218"/>
      <c r="N43" s="233" t="s">
        <v>106</v>
      </c>
      <c r="O43" s="204"/>
      <c r="P43" s="204"/>
      <c r="Q43" s="204"/>
      <c r="R43" s="233" t="s">
        <v>309</v>
      </c>
      <c r="S43" s="205"/>
      <c r="T43" s="205"/>
      <c r="U43" s="436"/>
      <c r="V43" s="221">
        <f t="shared" si="12"/>
        <v>0</v>
      </c>
      <c r="W43" s="253">
        <f t="shared" si="9" ca="1"/>
        <v>0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498"/>
      <c r="AU43" s="203"/>
      <c r="AV43" s="504"/>
      <c r="BG43" s="205">
        <v>16</v>
      </c>
      <c r="BH43" s="218"/>
      <c r="BI43" s="233" t="s">
        <v>106</v>
      </c>
      <c r="BJ43" s="204"/>
      <c r="BK43" s="204"/>
      <c r="BL43" s="204"/>
      <c r="BM43" s="233" t="s">
        <v>309</v>
      </c>
      <c r="BN43" s="205"/>
      <c r="BO43" s="205"/>
      <c r="BP43" s="436"/>
      <c r="BQ43" s="221">
        <f t="shared" si="10"/>
        <v>0</v>
      </c>
      <c r="BR43" s="253">
        <f t="shared" si="11" ca="1"/>
        <v>0</v>
      </c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498"/>
    </row>
    <row r="44" ht="18.75">
      <c r="A44" s="504"/>
      <c r="L44" s="205"/>
      <c r="M44" s="218">
        <f>IF(AND((AM15&gt;0),(AM15&lt;=5)),5,IF(AND((AM15&gt;5),(AM15&lt;=10)),10,IF(AND((AM15&gt;10),(AM15&lt;=15)),15,IF(AND((AM15&gt;15),(AM15&lt;=20)),20,IF(AND((AM15&gt;20),(AM15&lt;=25)),25,IF(AND((AM15&gt;25),(AM15&lt;=30)),30,IF(AND((AM15&gt;30),(AM15&lt;=35)),35,IF(AND((AM15&gt;35),(AM15&lt;=40)),40,IF(AND((AM15&gt;40),(AM15&lt;=45)),45,IF(AND((AM15&gt;45),(AM15&lt;=50)),50,IF(AND((AM15&gt;50),(AM15&lt;=55)),55,IF(AND((AM15&gt;55),(AM15&lt;=60)),60,0))))))))))))</f>
        <v>0</v>
      </c>
      <c r="N44" s="233" t="s">
        <v>109</v>
      </c>
      <c r="O44" s="204"/>
      <c r="P44" s="204"/>
      <c r="Q44" s="204"/>
      <c r="R44" s="233" t="s">
        <v>153</v>
      </c>
      <c r="S44" s="205"/>
      <c r="T44" s="205"/>
      <c r="U44" s="437">
        <f>Sheet2!B22</f>
        <v>135</v>
      </c>
      <c r="V44" s="221">
        <f t="shared" si="12"/>
        <v>0</v>
      </c>
      <c r="W44" s="253">
        <f t="shared" si="9" ca="1"/>
        <v>0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498"/>
      <c r="AU44" s="203"/>
      <c r="AV44" s="504"/>
      <c r="BG44" s="205">
        <v>17</v>
      </c>
      <c r="BH44" s="218">
        <f>IF(AND((CH15&gt;0),(CH15&lt;=5)),5,IF(AND((CH15&gt;5),(CH15&lt;=10)),10,IF(AND((CH15&gt;10),(CH15&lt;=15)),15,IF(AND((CH15&gt;15),(CH15&lt;=20)),20,IF(AND((CH15&gt;20),(CH15&lt;=25)),25,IF(AND((CH15&gt;25),(CH15&lt;=30)),30,IF(AND((CH15&gt;30),(CH15&lt;=35)),35,IF(AND((CH15&gt;35),(CH15&lt;=40)),40,IF(AND((CH15&gt;40),(CH15&lt;=45)),45,IF(AND((CH15&gt;45),(CH15&lt;=50)),50,IF(AND((CH15&gt;50),(CH15&lt;=55)),55,IF(AND((CH15&gt;55),(CH15&lt;=60)),60,0))))))))))))</f>
        <v>0</v>
      </c>
      <c r="BI44" s="233" t="s">
        <v>109</v>
      </c>
      <c r="BJ44" s="204"/>
      <c r="BK44" s="204"/>
      <c r="BL44" s="204"/>
      <c r="BM44" s="233" t="s">
        <v>153</v>
      </c>
      <c r="BN44" s="205"/>
      <c r="BO44" s="205"/>
      <c r="BP44" s="437">
        <f>Sheet2!AW22</f>
        <v>0</v>
      </c>
      <c r="BQ44" s="221">
        <f t="shared" si="10"/>
        <v>0</v>
      </c>
      <c r="BR44" s="253">
        <f t="shared" si="11" ca="1"/>
        <v>0</v>
      </c>
      <c r="BS44" s="203"/>
      <c r="BT44" s="203"/>
      <c r="BU44" s="203"/>
      <c r="BV44" s="203"/>
      <c r="BW44" s="203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498"/>
    </row>
    <row r="45" ht="18.75">
      <c r="A45" s="504"/>
      <c r="L45" s="205"/>
      <c r="M45" s="218">
        <f>IF(AND((AM16&gt;0),(AM16&lt;=5)),5,IF(AND((AM16&gt;5),(AM16&lt;=10)),10,IF(AND((AM16&gt;10),(AM16&lt;=15)),15,IF(AND((AM16&gt;15),(AM16&lt;=20)),20,IF(AND((AM16&gt;20),(AM16&lt;=25)),25,IF(AND((AM16&gt;25),(AM16&lt;=30)),30,IF(AND((AM16&gt;30),(AM16&lt;=35)),35,IF(AND((AM16&gt;35),(AM16&lt;=40)),40,IF(AND((AM16&gt;40),(AM16&lt;=45)),45,IF(AND((AM16&gt;45),(AM16&lt;=50)),50,IF(AND((AM16&gt;50),(AM16&lt;=55)),55,IF(AND((AM16&gt;55),(AM16&lt;=60)),60,0))))))))))))</f>
        <v>0</v>
      </c>
      <c r="N45" s="233" t="s">
        <v>112</v>
      </c>
      <c r="O45" s="204"/>
      <c r="P45" s="204"/>
      <c r="Q45" s="204"/>
      <c r="R45" s="233" t="s">
        <v>153</v>
      </c>
      <c r="S45" s="205"/>
      <c r="T45" s="205"/>
      <c r="U45" s="235">
        <f>Sheet2!B23</f>
        <v>130</v>
      </c>
      <c r="V45" s="221">
        <f t="shared" si="12"/>
        <v>0</v>
      </c>
      <c r="W45" s="253">
        <f t="shared" si="9" ca="1"/>
        <v>0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498"/>
      <c r="AU45" s="203"/>
      <c r="AV45" s="504"/>
      <c r="BG45" s="205">
        <v>18</v>
      </c>
      <c r="BH45" s="218">
        <f>IF(AND((CH16&gt;0),(CH16&lt;=5)),5,IF(AND((CH16&gt;5),(CH16&lt;=10)),10,IF(AND((CH16&gt;10),(CH16&lt;=15)),15,IF(AND((CH16&gt;15),(CH16&lt;=20)),20,IF(AND((CH16&gt;20),(CH16&lt;=25)),25,IF(AND((CH16&gt;25),(CH16&lt;=30)),30,IF(AND((CH16&gt;30),(CH16&lt;=35)),35,IF(AND((CH16&gt;35),(CH16&lt;=40)),40,IF(AND((CH16&gt;40),(CH16&lt;=45)),45,IF(AND((CH16&gt;45),(CH16&lt;=50)),50,IF(AND((CH16&gt;50),(CH16&lt;=55)),55,IF(AND((CH16&gt;55),(CH16&lt;=60)),60,0))))))))))))</f>
        <v>0</v>
      </c>
      <c r="BI45" s="233" t="s">
        <v>112</v>
      </c>
      <c r="BJ45" s="204"/>
      <c r="BK45" s="204"/>
      <c r="BL45" s="204"/>
      <c r="BM45" s="233" t="s">
        <v>153</v>
      </c>
      <c r="BN45" s="205"/>
      <c r="BO45" s="205"/>
      <c r="BP45" s="235">
        <f>Sheet2!AW23</f>
        <v>0</v>
      </c>
      <c r="BQ45" s="221">
        <f t="shared" si="10"/>
        <v>0</v>
      </c>
      <c r="BR45" s="253">
        <f t="shared" si="11" ca="1"/>
        <v>0</v>
      </c>
      <c r="BS45" s="203"/>
      <c r="BT45" s="203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498"/>
    </row>
    <row r="46" ht="18.75">
      <c r="A46" s="504"/>
      <c r="L46" s="492" t="s">
        <v>88</v>
      </c>
      <c r="M46" s="493"/>
      <c r="N46" s="494" t="s">
        <v>88</v>
      </c>
      <c r="O46" s="495"/>
      <c r="P46" s="495"/>
      <c r="Q46" s="495"/>
      <c r="R46" s="492" t="s">
        <v>154</v>
      </c>
      <c r="S46" s="492"/>
      <c r="T46" s="492"/>
      <c r="U46" s="500"/>
      <c r="V46" s="497">
        <f>SUBTOTAL(109,Table135971[اجمالي])</f>
        <v>5548</v>
      </c>
      <c r="W46" s="501">
        <f>Table135971[[#Totals],[اجمالي]]/$R$71</f>
        <v>0.035312981989106186</v>
      </c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498"/>
      <c r="AU46" s="203"/>
      <c r="AV46" s="504"/>
      <c r="BG46" s="492" t="s">
        <v>88</v>
      </c>
      <c r="BH46" s="493"/>
      <c r="BI46" s="494" t="s">
        <v>88</v>
      </c>
      <c r="BJ46" s="495"/>
      <c r="BK46" s="495"/>
      <c r="BL46" s="495"/>
      <c r="BM46" s="492" t="s">
        <v>154</v>
      </c>
      <c r="BN46" s="492"/>
      <c r="BO46" s="492"/>
      <c r="BP46" s="500"/>
      <c r="BQ46" s="497">
        <f>SUBTOTAL(109,Table13597166[اجمالي])</f>
        <v>4943</v>
      </c>
      <c r="BR46" s="501">
        <f>Table13597166[[#Totals],[اجمالي]]/$R$71</f>
        <v>0.031462161134129751</v>
      </c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498"/>
    </row>
    <row r="47" ht="18.75">
      <c r="A47" s="504"/>
      <c r="L47" s="205"/>
      <c r="M47" s="218"/>
      <c r="N47" s="219"/>
      <c r="O47" s="204"/>
      <c r="P47" s="204"/>
      <c r="Q47" s="204"/>
      <c r="R47" s="205"/>
      <c r="S47" s="205"/>
      <c r="T47" s="205"/>
      <c r="U47" s="226"/>
      <c r="V47" s="221"/>
      <c r="W47" s="24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498"/>
      <c r="AU47" s="203"/>
      <c r="AV47" s="504"/>
      <c r="BG47" s="205"/>
      <c r="BH47" s="218"/>
      <c r="BI47" s="219"/>
      <c r="BJ47" s="204"/>
      <c r="BK47" s="204"/>
      <c r="BL47" s="204"/>
      <c r="BM47" s="205"/>
      <c r="BN47" s="205"/>
      <c r="BO47" s="205"/>
      <c r="BP47" s="226"/>
      <c r="BQ47" s="221"/>
      <c r="BR47" s="24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498"/>
    </row>
    <row r="48" ht="18.75">
      <c r="A48" s="504"/>
      <c r="L48" s="203"/>
      <c r="M48" s="203"/>
      <c r="N48" s="231"/>
      <c r="O48" s="629" t="s">
        <v>310</v>
      </c>
      <c r="P48" s="629"/>
      <c r="Q48" s="629"/>
      <c r="R48" s="629"/>
      <c r="S48" s="629"/>
      <c r="T48" s="629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498"/>
      <c r="AU48" s="203"/>
      <c r="AV48" s="504"/>
      <c r="BG48" s="203"/>
      <c r="BH48" s="203"/>
      <c r="BI48" s="231"/>
      <c r="BJ48" s="629" t="s">
        <v>310</v>
      </c>
      <c r="BK48" s="629"/>
      <c r="BL48" s="629"/>
      <c r="BM48" s="629"/>
      <c r="BN48" s="629"/>
      <c r="BO48" s="629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498"/>
    </row>
    <row r="49" ht="18.75">
      <c r="A49" s="504"/>
      <c r="L49" s="205" t="s">
        <v>61</v>
      </c>
      <c r="M49" s="205" t="s">
        <v>62</v>
      </c>
      <c r="N49" s="233" t="s">
        <v>63</v>
      </c>
      <c r="O49" s="205" t="s">
        <v>64</v>
      </c>
      <c r="P49" s="205" t="s">
        <v>43</v>
      </c>
      <c r="Q49" s="205" t="s">
        <v>95</v>
      </c>
      <c r="R49" s="205" t="s">
        <v>66</v>
      </c>
      <c r="S49" s="205" t="s">
        <v>67</v>
      </c>
      <c r="T49" s="205" t="s">
        <v>110</v>
      </c>
      <c r="U49" s="205" t="s">
        <v>69</v>
      </c>
      <c r="V49" s="234" t="s">
        <v>70</v>
      </c>
      <c r="W49" s="205" t="s">
        <v>71</v>
      </c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498"/>
      <c r="AU49" s="203"/>
      <c r="AV49" s="504"/>
      <c r="BG49" s="205" t="s">
        <v>61</v>
      </c>
      <c r="BH49" s="205" t="s">
        <v>62</v>
      </c>
      <c r="BI49" s="233" t="s">
        <v>63</v>
      </c>
      <c r="BJ49" s="205" t="s">
        <v>64</v>
      </c>
      <c r="BK49" s="205" t="s">
        <v>43</v>
      </c>
      <c r="BL49" s="205" t="s">
        <v>95</v>
      </c>
      <c r="BM49" s="205" t="s">
        <v>66</v>
      </c>
      <c r="BN49" s="205" t="s">
        <v>67</v>
      </c>
      <c r="BO49" s="205" t="s">
        <v>110</v>
      </c>
      <c r="BP49" s="205" t="s">
        <v>69</v>
      </c>
      <c r="BQ49" s="234" t="s">
        <v>70</v>
      </c>
      <c r="BR49" s="205" t="s">
        <v>71</v>
      </c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498"/>
    </row>
    <row r="50" ht="18.75">
      <c r="A50" s="504"/>
      <c r="L50" s="205">
        <v>5</v>
      </c>
      <c r="M50" s="201">
        <v>1</v>
      </c>
      <c r="N50" s="219" t="s">
        <v>435</v>
      </c>
      <c r="O50" s="204"/>
      <c r="P50" s="205"/>
      <c r="Q50" s="203"/>
      <c r="R50" s="204"/>
      <c r="S50" s="205"/>
      <c r="T50" s="230"/>
      <c r="U50" s="235">
        <f>Table80[[#Totals],[price]]</f>
        <v>113647.6</v>
      </c>
      <c r="V50" s="505">
        <f>M50*Table16136877[[#This Row],[سعر الشبك ]]</f>
        <v>113647.6</v>
      </c>
      <c r="W50" s="222">
        <f>(V50)/$R$71</f>
        <v>0.72336619536862723</v>
      </c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498"/>
      <c r="AU50" s="203"/>
      <c r="AV50" s="504"/>
      <c r="BG50" s="205">
        <v>5</v>
      </c>
      <c r="BH50" s="201">
        <v>1</v>
      </c>
      <c r="BI50" s="219" t="s">
        <v>435</v>
      </c>
      <c r="BJ50" s="204"/>
      <c r="BK50" s="205"/>
      <c r="BL50" s="203"/>
      <c r="BM50" s="204"/>
      <c r="BN50" s="205"/>
      <c r="BO50" s="230"/>
      <c r="BP50" s="235">
        <f>Table8091[[#Totals],[price]]</f>
        <v>60201.1</v>
      </c>
      <c r="BQ50" s="505">
        <f>BH50*Table1613687787[[#This Row],[سعر الشبك ]]</f>
        <v>60201.1</v>
      </c>
      <c r="BR50" s="222">
        <f>(BQ50)/$R$71</f>
        <v>0.38317958904549032</v>
      </c>
      <c r="BS50" s="203"/>
      <c r="BT50" s="203"/>
      <c r="BU50" s="203"/>
      <c r="BV50" s="203"/>
      <c r="BW50" s="203"/>
      <c r="BX50" s="203"/>
      <c r="BY50" s="203"/>
      <c r="BZ50" s="203"/>
      <c r="CA50" s="203"/>
      <c r="CB50" s="203"/>
      <c r="CC50" s="203"/>
      <c r="CD50" s="203"/>
      <c r="CE50" s="203"/>
      <c r="CF50" s="203"/>
      <c r="CG50" s="203"/>
      <c r="CH50" s="203"/>
      <c r="CI50" s="203"/>
      <c r="CJ50" s="203"/>
      <c r="CK50" s="203"/>
      <c r="CL50" s="203"/>
      <c r="CM50" s="203"/>
      <c r="CN50" s="203"/>
      <c r="CO50" s="498"/>
    </row>
    <row r="51" ht="18.75">
      <c r="A51" s="504"/>
      <c r="L51" s="205">
        <v>4</v>
      </c>
      <c r="M51" s="218">
        <f>IF((Q67="الاسكندرية"),0.25,0.1)</f>
        <v>0.1</v>
      </c>
      <c r="N51" s="219" t="s">
        <v>165</v>
      </c>
      <c r="O51" s="204"/>
      <c r="P51" s="205"/>
      <c r="Q51" s="203"/>
      <c r="R51" s="204"/>
      <c r="S51" s="205"/>
      <c r="T51" s="230"/>
      <c r="U51" s="235">
        <f>V50</f>
        <v>113647.6</v>
      </c>
      <c r="V51" s="221">
        <f>M51*Table16136877[[#This Row],[سعر الشبك ]]</f>
        <v>11364.760000000002</v>
      </c>
      <c r="W51" s="222">
        <f>(V51)/$R$71</f>
        <v>0.07233661953686274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498"/>
      <c r="AU51" s="203"/>
      <c r="AV51" s="504"/>
      <c r="BG51" s="205">
        <v>4</v>
      </c>
      <c r="BH51" s="218">
        <f>IF((BL67="الاسكندرية"),0.25,0.1)</f>
        <v>0.1</v>
      </c>
      <c r="BI51" s="219" t="s">
        <v>165</v>
      </c>
      <c r="BJ51" s="204"/>
      <c r="BK51" s="205"/>
      <c r="BL51" s="203"/>
      <c r="BM51" s="204"/>
      <c r="BN51" s="205"/>
      <c r="BO51" s="230"/>
      <c r="BP51" s="235">
        <f>BQ50</f>
        <v>60201.1</v>
      </c>
      <c r="BQ51" s="221">
        <f>BH51*Table1613687787[[#This Row],[سعر الشبك ]]</f>
        <v>6020.1100000000006</v>
      </c>
      <c r="BR51" s="222">
        <f>(BQ51)/$R$71</f>
        <v>0.038317958904549032</v>
      </c>
      <c r="BS51" s="203"/>
      <c r="BT51" s="203"/>
      <c r="BU51" s="203"/>
      <c r="BV51" s="203"/>
      <c r="BW51" s="203"/>
      <c r="BX51" s="203"/>
      <c r="BY51" s="203"/>
      <c r="BZ51" s="203"/>
      <c r="CA51" s="203"/>
      <c r="CB51" s="203"/>
      <c r="CC51" s="203"/>
      <c r="CD51" s="203"/>
      <c r="CE51" s="203"/>
      <c r="CF51" s="203"/>
      <c r="CG51" s="203"/>
      <c r="CH51" s="203"/>
      <c r="CI51" s="203"/>
      <c r="CJ51" s="203"/>
      <c r="CK51" s="203"/>
      <c r="CL51" s="203"/>
      <c r="CM51" s="203"/>
      <c r="CN51" s="203"/>
      <c r="CO51" s="498"/>
    </row>
    <row r="52" ht="18.75">
      <c r="A52" s="504"/>
      <c r="L52" s="205" t="s">
        <v>88</v>
      </c>
      <c r="M52" s="218"/>
      <c r="N52" s="219" t="s">
        <v>88</v>
      </c>
      <c r="O52" s="204"/>
      <c r="P52" s="204"/>
      <c r="Q52" s="203">
        <f>SUBTOTAL(109,Table16136877[Column12])</f>
        <v>0</v>
      </c>
      <c r="R52" s="205"/>
      <c r="S52" s="205"/>
      <c r="T52" s="205"/>
      <c r="U52" s="226"/>
      <c r="V52" s="221">
        <f>SUBTOTAL(109,Table16136877[اجمالي])</f>
        <v>125012.36000000002</v>
      </c>
      <c r="W52" s="243">
        <f>Table16136877[[#Totals],[اجمالي]]/$R$71</f>
        <v>0.79570281490549011</v>
      </c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498"/>
      <c r="AU52" s="203"/>
      <c r="AV52" s="504"/>
      <c r="BG52" s="205" t="s">
        <v>88</v>
      </c>
      <c r="BH52" s="218"/>
      <c r="BI52" s="219" t="s">
        <v>88</v>
      </c>
      <c r="BJ52" s="204"/>
      <c r="BK52" s="204"/>
      <c r="BL52" s="203">
        <f>SUBTOTAL(109,Table1613687787[Column12])</f>
        <v>0</v>
      </c>
      <c r="BM52" s="205"/>
      <c r="BN52" s="205"/>
      <c r="BO52" s="205"/>
      <c r="BP52" s="226"/>
      <c r="BQ52" s="221">
        <f>SUBTOTAL(109,Table1613687787[اجمالي])</f>
        <v>66221.209999999992</v>
      </c>
      <c r="BR52" s="243">
        <f>Table1613687787[[#Totals],[اجمالي]]/$R$71</f>
        <v>0.4214975479500393</v>
      </c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498"/>
    </row>
    <row r="53" ht="18.75">
      <c r="A53" s="504"/>
      <c r="L53" s="203"/>
      <c r="M53" s="203"/>
      <c r="N53" s="231"/>
      <c r="O53" s="629" t="s">
        <v>166</v>
      </c>
      <c r="P53" s="629"/>
      <c r="Q53" s="629"/>
      <c r="R53" s="629"/>
      <c r="S53" s="629"/>
      <c r="T53" s="629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498"/>
      <c r="AU53" s="203"/>
      <c r="AV53" s="504"/>
      <c r="BG53" s="203"/>
      <c r="BH53" s="203"/>
      <c r="BI53" s="231"/>
      <c r="BJ53" s="629" t="s">
        <v>166</v>
      </c>
      <c r="BK53" s="629"/>
      <c r="BL53" s="629"/>
      <c r="BM53" s="629"/>
      <c r="BN53" s="629"/>
      <c r="BO53" s="629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498"/>
    </row>
    <row r="54" ht="18.75">
      <c r="A54" s="504"/>
      <c r="L54" s="205" t="s">
        <v>61</v>
      </c>
      <c r="M54" s="205" t="s">
        <v>62</v>
      </c>
      <c r="N54" s="233" t="s">
        <v>63</v>
      </c>
      <c r="O54" s="205" t="s">
        <v>167</v>
      </c>
      <c r="P54" s="205" t="s">
        <v>46</v>
      </c>
      <c r="Q54" s="205" t="s">
        <v>168</v>
      </c>
      <c r="R54" s="205" t="s">
        <v>169</v>
      </c>
      <c r="S54" s="205" t="s">
        <v>95</v>
      </c>
      <c r="T54" s="205" t="s">
        <v>170</v>
      </c>
      <c r="U54" s="205" t="s">
        <v>171</v>
      </c>
      <c r="V54" s="234" t="s">
        <v>70</v>
      </c>
      <c r="W54" s="205" t="s">
        <v>71</v>
      </c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498"/>
      <c r="AU54" s="203"/>
      <c r="AV54" s="504"/>
      <c r="BG54" s="205" t="s">
        <v>61</v>
      </c>
      <c r="BH54" s="205" t="s">
        <v>62</v>
      </c>
      <c r="BI54" s="233" t="s">
        <v>63</v>
      </c>
      <c r="BJ54" s="205" t="s">
        <v>167</v>
      </c>
      <c r="BK54" s="205" t="s">
        <v>46</v>
      </c>
      <c r="BL54" s="205" t="s">
        <v>168</v>
      </c>
      <c r="BM54" s="205" t="s">
        <v>169</v>
      </c>
      <c r="BN54" s="205" t="s">
        <v>95</v>
      </c>
      <c r="BO54" s="205" t="s">
        <v>170</v>
      </c>
      <c r="BP54" s="205" t="s">
        <v>171</v>
      </c>
      <c r="BQ54" s="234" t="s">
        <v>70</v>
      </c>
      <c r="BR54" s="205" t="s">
        <v>71</v>
      </c>
      <c r="BS54" s="203"/>
      <c r="BT54" s="203"/>
      <c r="BU54" s="203"/>
      <c r="BV54" s="203"/>
      <c r="BW54" s="203"/>
      <c r="BX54" s="203"/>
      <c r="BY54" s="203"/>
      <c r="BZ54" s="203"/>
      <c r="CA54" s="203"/>
      <c r="CB54" s="203"/>
      <c r="CC54" s="203"/>
      <c r="CD54" s="203"/>
      <c r="CE54" s="203"/>
      <c r="CF54" s="203"/>
      <c r="CG54" s="203"/>
      <c r="CH54" s="203"/>
      <c r="CI54" s="203"/>
      <c r="CJ54" s="203"/>
      <c r="CK54" s="203"/>
      <c r="CL54" s="203"/>
      <c r="CM54" s="203"/>
      <c r="CN54" s="203"/>
      <c r="CO54" s="498"/>
    </row>
    <row r="55" ht="18.75">
      <c r="A55" s="504"/>
      <c r="L55" s="205">
        <v>1</v>
      </c>
      <c r="M55" s="201">
        <v>2</v>
      </c>
      <c r="N55" s="206" t="s">
        <v>172</v>
      </c>
      <c r="O55" s="205">
        <f>IF((Table16126776[[#This Row],[موقع العمل]]="المصنع"),150,IF((Table16126776[[#This Row],[موقع العمل]]="الاسكندرية"),160,200))</f>
        <v>150</v>
      </c>
      <c r="P55" s="205">
        <f>SUMIF(Table176978[Column1],Table16126776[[#This Row],[موقع العمل]],$AB$2:$AB$20)</f>
        <v>0</v>
      </c>
      <c r="Q55" s="205" t="s">
        <v>173</v>
      </c>
      <c r="R55" s="204" t="s">
        <v>73</v>
      </c>
      <c r="S55" s="203"/>
      <c r="T55" s="220">
        <v>1</v>
      </c>
      <c r="U55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150</v>
      </c>
      <c r="V55" s="221">
        <f ref="V55:V67" t="shared" si="15" ca="1">M55*U55</f>
        <v>300</v>
      </c>
      <c r="W55" s="222">
        <f ref="W55:W67" t="shared" si="16" ca="1">(V55)/$R$71</f>
        <v>0.0019094979446164122</v>
      </c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03"/>
      <c r="AP55" s="203"/>
      <c r="AQ55" s="223"/>
      <c r="AR55" s="223"/>
      <c r="AS55" s="223"/>
      <c r="AT55" s="506"/>
      <c r="AU55" s="223"/>
      <c r="AV55" s="504"/>
      <c r="BG55" s="205">
        <v>1</v>
      </c>
      <c r="BH55" s="201">
        <v>2</v>
      </c>
      <c r="BI55" s="206" t="s">
        <v>172</v>
      </c>
      <c r="BJ55" s="205">
        <f>IF((Table1612677686[[#This Row],[موقع العمل]]="المصنع"),150,IF((Table1612677686[[#This Row],[موقع العمل]]="الاسكندرية"),160,200))</f>
        <v>150</v>
      </c>
      <c r="BK55" s="205">
        <f>SUMIF(Table17697888[Column1],Table1612677686[[#This Row],[موقع العمل]],$AB$2:$AB$20)</f>
        <v>0</v>
      </c>
      <c r="BL55" s="205" t="s">
        <v>173</v>
      </c>
      <c r="BM55" s="204" t="s">
        <v>73</v>
      </c>
      <c r="BN55" s="203"/>
      <c r="BO55" s="220">
        <v>1</v>
      </c>
      <c r="BP55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150</v>
      </c>
      <c r="BQ55" s="221">
        <f ref="BQ55:BQ67" t="shared" si="17" ca="1">BH55*BP55</f>
        <v>300</v>
      </c>
      <c r="BR55" s="557">
        <f ref="BR55:BR67" t="shared" si="18" ca="1">(BQ55)/$R$71</f>
        <v>0.0019094979446164122</v>
      </c>
      <c r="BS55" s="223"/>
      <c r="BT55" s="223"/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3"/>
      <c r="CJ55" s="203"/>
      <c r="CK55" s="203"/>
      <c r="CL55" s="223"/>
      <c r="CM55" s="223"/>
      <c r="CN55" s="223"/>
      <c r="CO55" s="506"/>
    </row>
    <row r="56" ht="18.75">
      <c r="A56" s="504"/>
      <c r="L56" s="205">
        <v>2</v>
      </c>
      <c r="M56" s="201">
        <v>2</v>
      </c>
      <c r="N56" s="206" t="s">
        <v>174</v>
      </c>
      <c r="O56" s="205">
        <f>IF((Table16126776[[#This Row],[موقع العمل]]="المصنع"),150,IF((Table16126776[[#This Row],[موقع العمل]]="الاسكندرية"),160,200))</f>
        <v>150</v>
      </c>
      <c r="P56" s="205">
        <f>SUMIF(Table176978[Column1],Table16126776[[#This Row],[موقع العمل]],$AB$2:$AB$20)</f>
        <v>0</v>
      </c>
      <c r="Q56" s="205" t="s">
        <v>173</v>
      </c>
      <c r="R56" s="204" t="s">
        <v>73</v>
      </c>
      <c r="S56" s="203"/>
      <c r="T56" s="220">
        <v>1</v>
      </c>
      <c r="U56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150</v>
      </c>
      <c r="V56" s="221">
        <f t="shared" si="15" ca="1"/>
        <v>300</v>
      </c>
      <c r="W56" s="222">
        <f t="shared" si="16" ca="1"/>
        <v>0.0019094979446164122</v>
      </c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3"/>
      <c r="AP56" s="223"/>
      <c r="AQ56" s="223"/>
      <c r="AR56" s="223"/>
      <c r="AS56" s="223"/>
      <c r="AT56" s="506"/>
      <c r="AU56" s="223"/>
      <c r="AV56" s="504"/>
      <c r="BG56" s="205">
        <v>2</v>
      </c>
      <c r="BH56" s="201">
        <v>2</v>
      </c>
      <c r="BI56" s="206" t="s">
        <v>174</v>
      </c>
      <c r="BJ56" s="205">
        <f>IF((Table1612677686[[#This Row],[موقع العمل]]="المصنع"),150,IF((Table1612677686[[#This Row],[موقع العمل]]="الاسكندرية"),160,200))</f>
        <v>150</v>
      </c>
      <c r="BK56" s="205">
        <f>SUMIF(Table17697888[Column1],Table1612677686[[#This Row],[موقع العمل]],$AB$2:$AB$20)</f>
        <v>0</v>
      </c>
      <c r="BL56" s="205" t="s">
        <v>173</v>
      </c>
      <c r="BM56" s="204" t="s">
        <v>73</v>
      </c>
      <c r="BN56" s="203"/>
      <c r="BO56" s="220">
        <v>1</v>
      </c>
      <c r="BP56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150</v>
      </c>
      <c r="BQ56" s="221">
        <f t="shared" si="17" ca="1"/>
        <v>300</v>
      </c>
      <c r="BR56" s="557">
        <f t="shared" si="18" ca="1"/>
        <v>0.0019094979446164122</v>
      </c>
      <c r="BS56" s="223"/>
      <c r="BT56" s="223"/>
      <c r="BU56" s="223"/>
      <c r="BV56" s="223"/>
      <c r="BW56" s="223"/>
      <c r="BX56" s="223"/>
      <c r="BY56" s="223"/>
      <c r="BZ56" s="223"/>
      <c r="CA56" s="223"/>
      <c r="CB56" s="223"/>
      <c r="CC56" s="223"/>
      <c r="CD56" s="223"/>
      <c r="CE56" s="223"/>
      <c r="CF56" s="223"/>
      <c r="CG56" s="223"/>
      <c r="CH56" s="223"/>
      <c r="CI56" s="223"/>
      <c r="CJ56" s="223"/>
      <c r="CK56" s="223"/>
      <c r="CL56" s="223"/>
      <c r="CM56" s="223"/>
      <c r="CN56" s="223"/>
      <c r="CO56" s="506"/>
    </row>
    <row r="57" ht="18.75">
      <c r="A57" s="504"/>
      <c r="L57" s="205">
        <v>3</v>
      </c>
      <c r="M57" s="201">
        <v>3</v>
      </c>
      <c r="N57" s="206" t="s">
        <v>175</v>
      </c>
      <c r="O57" s="205">
        <f>IF((Table16126776[[#This Row],[موقع العمل]]="المصنع"),150,IF((Table16126776[[#This Row],[موقع العمل]]="الاسكندرية"),160,200))</f>
        <v>150</v>
      </c>
      <c r="P57" s="205">
        <f>SUMIF(Table176978[Column1],Table16126776[[#This Row],[موقع العمل]],$AB$2:$AB$20)</f>
        <v>0</v>
      </c>
      <c r="Q57" s="205" t="s">
        <v>173</v>
      </c>
      <c r="R57" s="204" t="s">
        <v>73</v>
      </c>
      <c r="S57" s="203"/>
      <c r="T57" s="220">
        <v>0</v>
      </c>
      <c r="U57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7" s="221">
        <f t="shared" si="15"/>
        <v>0</v>
      </c>
      <c r="W57" s="222">
        <f t="shared" si="16" ca="1"/>
        <v>0</v>
      </c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23"/>
      <c r="AP57" s="223"/>
      <c r="AQ57" s="203"/>
      <c r="AR57" s="203"/>
      <c r="AS57" s="203"/>
      <c r="AT57" s="498"/>
      <c r="AU57" s="203"/>
      <c r="AV57" s="504"/>
      <c r="BG57" s="205">
        <v>3</v>
      </c>
      <c r="BH57" s="201">
        <v>3</v>
      </c>
      <c r="BI57" s="206" t="s">
        <v>175</v>
      </c>
      <c r="BJ57" s="205">
        <f>IF((Table1612677686[[#This Row],[موقع العمل]]="المصنع"),150,IF((Table1612677686[[#This Row],[موقع العمل]]="الاسكندرية"),160,200))</f>
        <v>150</v>
      </c>
      <c r="BK57" s="205">
        <f>SUMIF(Table17697888[Column1],Table1612677686[[#This Row],[موقع العمل]],$AB$2:$AB$20)</f>
        <v>0</v>
      </c>
      <c r="BL57" s="205" t="s">
        <v>173</v>
      </c>
      <c r="BM57" s="204" t="s">
        <v>73</v>
      </c>
      <c r="BN57" s="203"/>
      <c r="BO57" s="220">
        <v>0</v>
      </c>
      <c r="BP57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21">
        <f t="shared" si="17"/>
        <v>0</v>
      </c>
      <c r="BR57" s="557">
        <f t="shared" si="18" ca="1"/>
        <v>0</v>
      </c>
      <c r="BS57" s="203"/>
      <c r="BT57" s="203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/>
      <c r="CF57" s="203"/>
      <c r="CG57" s="203"/>
      <c r="CH57" s="203"/>
      <c r="CI57" s="203"/>
      <c r="CJ57" s="223"/>
      <c r="CK57" s="223"/>
      <c r="CL57" s="203"/>
      <c r="CM57" s="203"/>
      <c r="CN57" s="203"/>
      <c r="CO57" s="498"/>
    </row>
    <row r="58" ht="18.75">
      <c r="A58" s="504"/>
      <c r="L58" s="205">
        <v>4</v>
      </c>
      <c r="M58" s="218">
        <v>3</v>
      </c>
      <c r="N58" s="206" t="s">
        <v>176</v>
      </c>
      <c r="O58" s="205">
        <f>IF((Table16126776[[#This Row],[موقع العمل]]="المصنع"),150,IF((Table16126776[[#This Row],[موقع العمل]]="الاسكندرية"),160,200))</f>
        <v>150</v>
      </c>
      <c r="P58" s="205">
        <f>SUMIF(Table176978[Column1],Table16126776[[#This Row],[موقع العمل]],$AB$2:$AB$20)</f>
        <v>0</v>
      </c>
      <c r="Q58" s="205" t="s">
        <v>173</v>
      </c>
      <c r="R58" s="204" t="s">
        <v>73</v>
      </c>
      <c r="S58" s="203"/>
      <c r="T58" s="220">
        <v>2</v>
      </c>
      <c r="U58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300</v>
      </c>
      <c r="V58" s="221">
        <f t="shared" si="15" ca="1"/>
        <v>900</v>
      </c>
      <c r="W58" s="222">
        <f t="shared" si="16" ca="1"/>
        <v>0.0057284938338492365</v>
      </c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498"/>
      <c r="AU58" s="203"/>
      <c r="AV58" s="504"/>
      <c r="BG58" s="205">
        <v>4</v>
      </c>
      <c r="BH58" s="218">
        <v>3</v>
      </c>
      <c r="BI58" s="206" t="s">
        <v>176</v>
      </c>
      <c r="BJ58" s="205">
        <f>IF((Table1612677686[[#This Row],[موقع العمل]]="المصنع"),150,IF((Table1612677686[[#This Row],[موقع العمل]]="الاسكندرية"),160,200))</f>
        <v>150</v>
      </c>
      <c r="BK58" s="205">
        <f>SUMIF(Table17697888[Column1],Table1612677686[[#This Row],[موقع العمل]],$AB$2:$AB$20)</f>
        <v>0</v>
      </c>
      <c r="BL58" s="205" t="s">
        <v>173</v>
      </c>
      <c r="BM58" s="204" t="s">
        <v>73</v>
      </c>
      <c r="BN58" s="203"/>
      <c r="BO58" s="220">
        <v>2</v>
      </c>
      <c r="BP58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300</v>
      </c>
      <c r="BQ58" s="221">
        <f t="shared" si="17" ca="1"/>
        <v>900</v>
      </c>
      <c r="BR58" s="557">
        <f t="shared" si="18" ca="1"/>
        <v>0.0057284938338492365</v>
      </c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498"/>
    </row>
    <row r="59" ht="18.75">
      <c r="A59" s="504"/>
      <c r="L59" s="205">
        <v>5</v>
      </c>
      <c r="M59" s="218">
        <v>4</v>
      </c>
      <c r="N59" s="206" t="s">
        <v>177</v>
      </c>
      <c r="O59" s="205">
        <f>IF((Table16126776[[#This Row],[موقع العمل]]="المصنع"),150,IF((Table16126776[[#This Row],[موقع العمل]]="الاسكندرية"),160,200))</f>
        <v>200</v>
      </c>
      <c r="P59" s="205">
        <f>SUMIF(Table176978[Column1],Table16126776[[#This Row],[موقع العمل]],$AB$2:$AB$20)</f>
        <v>75</v>
      </c>
      <c r="Q59" s="205" t="str">
        <f>تسعير!$AT$24</f>
        <v>الشرقية</v>
      </c>
      <c r="R59" s="204" t="s">
        <v>73</v>
      </c>
      <c r="S59" s="203"/>
      <c r="T59" s="220">
        <v>2</v>
      </c>
      <c r="U59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59" s="221">
        <f t="shared" si="15" ca="1"/>
        <v>2200</v>
      </c>
      <c r="W59" s="222">
        <f t="shared" si="16" ca="1"/>
        <v>0.014002984927187023</v>
      </c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498"/>
      <c r="AU59" s="203"/>
      <c r="AV59" s="504"/>
      <c r="BG59" s="205">
        <v>5</v>
      </c>
      <c r="BH59" s="218">
        <v>4</v>
      </c>
      <c r="BI59" s="206" t="s">
        <v>177</v>
      </c>
      <c r="BJ59" s="205">
        <f>IF((Table1612677686[[#This Row],[موقع العمل]]="المصنع"),150,IF((Table1612677686[[#This Row],[موقع العمل]]="الاسكندرية"),160,200))</f>
        <v>200</v>
      </c>
      <c r="BK59" s="205">
        <f>SUMIF(Table17697888[Column1],Table1612677686[[#This Row],[موقع العمل]],$AB$2:$AB$20)</f>
        <v>75</v>
      </c>
      <c r="BL59" s="205" t="str">
        <f>تسعير!$BE$24</f>
        <v>الاسماعيلية</v>
      </c>
      <c r="BM59" s="204" t="s">
        <v>73</v>
      </c>
      <c r="BN59" s="203"/>
      <c r="BO59" s="220">
        <v>2</v>
      </c>
      <c r="BP59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59" s="221">
        <f t="shared" si="17" ca="1"/>
        <v>2200</v>
      </c>
      <c r="BR59" s="557">
        <f t="shared" si="18" ca="1"/>
        <v>0.014002984927187023</v>
      </c>
      <c r="BS59" s="203"/>
      <c r="BT59" s="203"/>
      <c r="BU59" s="203"/>
      <c r="BV59" s="203"/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3"/>
      <c r="CH59" s="203"/>
      <c r="CI59" s="203"/>
      <c r="CJ59" s="203"/>
      <c r="CK59" s="203"/>
      <c r="CL59" s="203"/>
      <c r="CM59" s="203"/>
      <c r="CN59" s="203"/>
      <c r="CO59" s="498"/>
    </row>
    <row r="60" ht="18.75">
      <c r="A60" s="504"/>
      <c r="L60" s="205">
        <v>6</v>
      </c>
      <c r="M60" s="218">
        <v>3</v>
      </c>
      <c r="N60" s="206" t="s">
        <v>178</v>
      </c>
      <c r="O60" s="205">
        <f>IF((Table16126776[[#This Row],[موقع العمل]]="المصنع"),150,IF((Table16126776[[#This Row],[موقع العمل]]="الاسكندرية"),160,200))</f>
        <v>200</v>
      </c>
      <c r="P60" s="205">
        <f>SUMIF(Table176978[Column1],Table16126776[[#This Row],[موقع العمل]],$AB$2:$AB$20)</f>
        <v>75</v>
      </c>
      <c r="Q60" s="205" t="str">
        <f>تسعير!$AT$24</f>
        <v>الشرقية</v>
      </c>
      <c r="R60" s="204" t="s">
        <v>73</v>
      </c>
      <c r="S60" s="203"/>
      <c r="T60" s="220">
        <v>2</v>
      </c>
      <c r="U60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60" s="221">
        <f t="shared" si="15" ca="1"/>
        <v>1650</v>
      </c>
      <c r="W60" s="222">
        <f t="shared" si="16" ca="1"/>
        <v>0.010502238695390267</v>
      </c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498"/>
      <c r="AU60" s="203"/>
      <c r="AV60" s="504"/>
      <c r="BG60" s="205">
        <v>6</v>
      </c>
      <c r="BH60" s="218">
        <v>3</v>
      </c>
      <c r="BI60" s="206" t="s">
        <v>178</v>
      </c>
      <c r="BJ60" s="205">
        <f>IF((Table1612677686[[#This Row],[موقع العمل]]="المصنع"),150,IF((Table1612677686[[#This Row],[موقع العمل]]="الاسكندرية"),160,200))</f>
        <v>200</v>
      </c>
      <c r="BK60" s="205">
        <f>SUMIF(Table17697888[Column1],Table1612677686[[#This Row],[موقع العمل]],$AB$2:$AB$20)</f>
        <v>75</v>
      </c>
      <c r="BL60" s="205" t="str">
        <f>تسعير!$BE$24</f>
        <v>الاسماعيلية</v>
      </c>
      <c r="BM60" s="204" t="s">
        <v>73</v>
      </c>
      <c r="BN60" s="203"/>
      <c r="BO60" s="220">
        <v>2</v>
      </c>
      <c r="BP60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60" s="221">
        <f t="shared" si="17" ca="1"/>
        <v>1650</v>
      </c>
      <c r="BR60" s="557">
        <f t="shared" si="18" ca="1"/>
        <v>0.010502238695390267</v>
      </c>
      <c r="BS60" s="203"/>
      <c r="BT60" s="203"/>
      <c r="BU60" s="203"/>
      <c r="BV60" s="203"/>
      <c r="BW60" s="203"/>
      <c r="BX60" s="203"/>
      <c r="BY60" s="203"/>
      <c r="BZ60" s="203"/>
      <c r="CA60" s="203"/>
      <c r="CB60" s="203"/>
      <c r="CC60" s="203"/>
      <c r="CD60" s="203"/>
      <c r="CE60" s="203"/>
      <c r="CF60" s="203"/>
      <c r="CG60" s="203"/>
      <c r="CH60" s="203"/>
      <c r="CI60" s="203"/>
      <c r="CJ60" s="203"/>
      <c r="CK60" s="203"/>
      <c r="CL60" s="203"/>
      <c r="CM60" s="203"/>
      <c r="CN60" s="203"/>
      <c r="CO60" s="498"/>
    </row>
    <row r="61" ht="18.75">
      <c r="A61" s="504"/>
      <c r="L61" s="205">
        <v>7</v>
      </c>
      <c r="M61" s="218">
        <v>0</v>
      </c>
      <c r="N61" s="206" t="s">
        <v>179</v>
      </c>
      <c r="O61" s="205">
        <f>IF((Table16126776[[#This Row],[موقع العمل]]="المصنع"),150,IF((Table16126776[[#This Row],[موقع العمل]]="الاسكندرية"),160,200))</f>
        <v>200</v>
      </c>
      <c r="P61" s="205">
        <f>SUMIF(Table176978[Column1],Table16126776[[#This Row],[موقع العمل]],$AB$2:$AB$20)</f>
        <v>75</v>
      </c>
      <c r="Q61" s="205" t="str">
        <f>تسعير!$AT$24</f>
        <v>الشرقية</v>
      </c>
      <c r="R61" s="204" t="s">
        <v>73</v>
      </c>
      <c r="S61" s="203"/>
      <c r="T61" s="220">
        <v>0</v>
      </c>
      <c r="U61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61" s="221">
        <f t="shared" si="15"/>
        <v>0</v>
      </c>
      <c r="W61" s="222">
        <f t="shared" si="16" ca="1"/>
        <v>0</v>
      </c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498"/>
      <c r="AU61" s="203"/>
      <c r="AV61" s="504"/>
      <c r="BG61" s="205">
        <v>7</v>
      </c>
      <c r="BH61" s="218">
        <v>0</v>
      </c>
      <c r="BI61" s="206" t="s">
        <v>179</v>
      </c>
      <c r="BJ61" s="205">
        <f>IF((Table1612677686[[#This Row],[موقع العمل]]="المصنع"),150,IF((Table1612677686[[#This Row],[موقع العمل]]="الاسكندرية"),160,200))</f>
        <v>200</v>
      </c>
      <c r="BK61" s="205">
        <f>SUMIF(Table17697888[Column1],Table1612677686[[#This Row],[موقع العمل]],$AB$2:$AB$20)</f>
        <v>75</v>
      </c>
      <c r="BL61" s="205" t="str">
        <f>تسعير!$BE$24</f>
        <v>الاسماعيلية</v>
      </c>
      <c r="BM61" s="204" t="s">
        <v>73</v>
      </c>
      <c r="BN61" s="203"/>
      <c r="BO61" s="220">
        <v>0</v>
      </c>
      <c r="BP61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61" s="221">
        <f t="shared" si="17"/>
        <v>0</v>
      </c>
      <c r="BR61" s="557">
        <f t="shared" si="18" ca="1"/>
        <v>0</v>
      </c>
      <c r="BS61" s="203"/>
      <c r="BT61" s="203"/>
      <c r="BU61" s="203"/>
      <c r="BV61" s="203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498"/>
    </row>
    <row r="62" ht="18.75">
      <c r="A62" s="504"/>
      <c r="L62" s="205">
        <v>8</v>
      </c>
      <c r="M62" s="218">
        <v>4</v>
      </c>
      <c r="N62" s="206" t="s">
        <v>180</v>
      </c>
      <c r="O62" s="205">
        <f>IF((Table16126776[[#This Row],[موقع العمل]]="المصنع"),150,IF((Table16126776[[#This Row],[موقع العمل]]="الاسكندرية"),160,200))</f>
        <v>200</v>
      </c>
      <c r="P62" s="205">
        <f>SUMIF(Table176978[Column1],Table16126776[[#This Row],[موقع العمل]],$AB$2:$AB$20)</f>
        <v>75</v>
      </c>
      <c r="Q62" s="205" t="str">
        <f>تسعير!$AT$24</f>
        <v>الشرقية</v>
      </c>
      <c r="R62" s="204" t="s">
        <v>73</v>
      </c>
      <c r="S62" s="203"/>
      <c r="T62" s="220">
        <v>2</v>
      </c>
      <c r="U62" s="220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550</v>
      </c>
      <c r="V62" s="221">
        <f t="shared" si="15" ca="1"/>
        <v>2200</v>
      </c>
      <c r="W62" s="222">
        <f t="shared" si="16" ca="1"/>
        <v>0.014002984927187023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498"/>
      <c r="AU62" s="203"/>
      <c r="AV62" s="504"/>
      <c r="BG62" s="205">
        <v>8</v>
      </c>
      <c r="BH62" s="218">
        <v>4</v>
      </c>
      <c r="BI62" s="206" t="s">
        <v>180</v>
      </c>
      <c r="BJ62" s="205">
        <f>IF((Table1612677686[[#This Row],[موقع العمل]]="المصنع"),150,IF((Table1612677686[[#This Row],[موقع العمل]]="الاسكندرية"),160,200))</f>
        <v>200</v>
      </c>
      <c r="BK62" s="205">
        <f>SUMIF(Table17697888[Column1],Table1612677686[[#This Row],[موقع العمل]],$AB$2:$AB$20)</f>
        <v>75</v>
      </c>
      <c r="BL62" s="205" t="str">
        <f>تسعير!$BE$24</f>
        <v>الاسماعيلية</v>
      </c>
      <c r="BM62" s="204" t="s">
        <v>73</v>
      </c>
      <c r="BN62" s="203"/>
      <c r="BO62" s="220">
        <v>2</v>
      </c>
      <c r="BP62" s="220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550</v>
      </c>
      <c r="BQ62" s="221">
        <f t="shared" si="17" ca="1"/>
        <v>2200</v>
      </c>
      <c r="BR62" s="557">
        <f t="shared" si="18" ca="1"/>
        <v>0.014002984927187023</v>
      </c>
      <c r="BS62" s="203"/>
      <c r="BT62" s="203"/>
      <c r="BU62" s="203"/>
      <c r="BV62" s="203"/>
      <c r="BW62" s="203"/>
      <c r="BX62" s="203"/>
      <c r="BY62" s="203"/>
      <c r="BZ62" s="203"/>
      <c r="CA62" s="203"/>
      <c r="CB62" s="203"/>
      <c r="CC62" s="203"/>
      <c r="CD62" s="203"/>
      <c r="CE62" s="203"/>
      <c r="CF62" s="203"/>
      <c r="CG62" s="203"/>
      <c r="CH62" s="203"/>
      <c r="CI62" s="203"/>
      <c r="CJ62" s="203"/>
      <c r="CK62" s="203"/>
      <c r="CL62" s="203"/>
      <c r="CM62" s="203"/>
      <c r="CN62" s="203"/>
      <c r="CO62" s="498"/>
    </row>
    <row r="63" ht="18.75">
      <c r="A63" s="504"/>
      <c r="L63" s="205">
        <v>9</v>
      </c>
      <c r="M63" s="218">
        <f>(M59+M60+M61+M62)*2</f>
        <v>22</v>
      </c>
      <c r="N63" s="206" t="s">
        <v>181</v>
      </c>
      <c r="O63" s="205"/>
      <c r="P63" s="205"/>
      <c r="Q63" s="205" t="str">
        <f>تسعير!$AT$24</f>
        <v>الشرقية</v>
      </c>
      <c r="R63" s="204"/>
      <c r="S63" s="230">
        <f>SUMIF(Table176978[Column1],Table16126776[[#This Row],[موقع العمل]],$Z$2:$Z$20)</f>
        <v>75</v>
      </c>
      <c r="T63" s="230"/>
      <c r="U63" s="220">
        <f>Table16126776[[#This Row],[Column12]]</f>
        <v>75</v>
      </c>
      <c r="V63" s="221">
        <f t="shared" si="15" ca="1"/>
        <v>1650</v>
      </c>
      <c r="W63" s="222">
        <f t="shared" si="16" ca="1"/>
        <v>0.010502238695390267</v>
      </c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498"/>
      <c r="AU63" s="203"/>
      <c r="AV63" s="504"/>
      <c r="BG63" s="205">
        <v>9</v>
      </c>
      <c r="BH63" s="218">
        <f>(BH59+BH60+BH61+BH62)*2</f>
        <v>22</v>
      </c>
      <c r="BI63" s="206" t="s">
        <v>181</v>
      </c>
      <c r="BJ63" s="205"/>
      <c r="BK63" s="205"/>
      <c r="BL63" s="205" t="str">
        <f>تسعير!$BE$24</f>
        <v>الاسماعيلية</v>
      </c>
      <c r="BM63" s="204"/>
      <c r="BN63" s="230">
        <f>SUMIF(Table17697888[Column1],Table1612677686[[#This Row],[موقع العمل]],$Z$2:$Z$20)</f>
        <v>150</v>
      </c>
      <c r="BO63" s="230"/>
      <c r="BP63" s="220">
        <f>Table1612677686[[#This Row],[Column12]]</f>
        <v>150</v>
      </c>
      <c r="BQ63" s="221">
        <f t="shared" si="17" ca="1"/>
        <v>3300</v>
      </c>
      <c r="BR63" s="557">
        <f t="shared" si="18" ca="1"/>
        <v>0.021004477390780533</v>
      </c>
      <c r="BS63" s="203"/>
      <c r="BT63" s="203"/>
      <c r="BU63" s="203"/>
      <c r="BV63" s="203"/>
      <c r="BW63" s="203"/>
      <c r="BX63" s="203"/>
      <c r="BY63" s="203"/>
      <c r="BZ63" s="203"/>
      <c r="CA63" s="203"/>
      <c r="CB63" s="203"/>
      <c r="CC63" s="203"/>
      <c r="CD63" s="203"/>
      <c r="CE63" s="203"/>
      <c r="CF63" s="203"/>
      <c r="CG63" s="203"/>
      <c r="CH63" s="203"/>
      <c r="CI63" s="203"/>
      <c r="CJ63" s="203"/>
      <c r="CK63" s="203"/>
      <c r="CL63" s="203"/>
      <c r="CM63" s="203"/>
      <c r="CN63" s="203"/>
      <c r="CO63" s="498"/>
    </row>
    <row r="64" ht="18.75">
      <c r="A64" s="504"/>
      <c r="L64" s="205">
        <v>10</v>
      </c>
      <c r="M64" s="218">
        <f>((T59+T60+T61+T62)*2)-3</f>
        <v>9</v>
      </c>
      <c r="N64" s="206" t="s">
        <v>182</v>
      </c>
      <c r="O64" s="205"/>
      <c r="P64" s="205"/>
      <c r="Q64" s="205" t="str">
        <f>تسعير!$AT$24</f>
        <v>الشرقية</v>
      </c>
      <c r="R64" s="204"/>
      <c r="S64" s="230">
        <f>SUMIF(Table176978[Column1],Table16126776[[#This Row],[موقع العمل]],$AA$2:$AA$20)</f>
        <v>50</v>
      </c>
      <c r="T64" s="230"/>
      <c r="U64" s="220">
        <f>Table16126776[[#This Row],[Column12]]</f>
        <v>50</v>
      </c>
      <c r="V64" s="221">
        <f t="shared" si="15" ca="1"/>
        <v>450</v>
      </c>
      <c r="W64" s="222">
        <f t="shared" si="16" ca="1"/>
        <v>0.0028642469169246182</v>
      </c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498"/>
      <c r="AU64" s="203"/>
      <c r="AV64" s="504"/>
      <c r="BG64" s="205">
        <v>10</v>
      </c>
      <c r="BH64" s="218">
        <f>((BO59+BO60+BO61+BO62)*2)-3</f>
        <v>9</v>
      </c>
      <c r="BI64" s="206" t="s">
        <v>182</v>
      </c>
      <c r="BJ64" s="205"/>
      <c r="BK64" s="205"/>
      <c r="BL64" s="205" t="str">
        <f>تسعير!$BE$24</f>
        <v>الاسماعيلية</v>
      </c>
      <c r="BM64" s="204"/>
      <c r="BN64" s="230">
        <f>SUMIF(Table17697888[Column1],Table1612677686[[#This Row],[موقع العمل]],$AA$2:$AA$20)</f>
        <v>50</v>
      </c>
      <c r="BO64" s="230"/>
      <c r="BP64" s="220">
        <f>Table1612677686[[#This Row],[Column12]]</f>
        <v>50</v>
      </c>
      <c r="BQ64" s="221">
        <f t="shared" si="17" ca="1"/>
        <v>450</v>
      </c>
      <c r="BR64" s="557">
        <f t="shared" si="18" ca="1"/>
        <v>0.0028642469169246182</v>
      </c>
      <c r="BS64" s="203"/>
      <c r="BT64" s="203"/>
      <c r="BU64" s="203"/>
      <c r="BV64" s="203"/>
      <c r="BW64" s="203"/>
      <c r="BX64" s="203"/>
      <c r="BY64" s="203"/>
      <c r="BZ64" s="203"/>
      <c r="CA64" s="203"/>
      <c r="CB64" s="203"/>
      <c r="CC64" s="203"/>
      <c r="CD64" s="203"/>
      <c r="CE64" s="203"/>
      <c r="CF64" s="203"/>
      <c r="CG64" s="203"/>
      <c r="CH64" s="203"/>
      <c r="CI64" s="203"/>
      <c r="CJ64" s="203"/>
      <c r="CK64" s="203"/>
      <c r="CL64" s="203"/>
      <c r="CM64" s="203"/>
      <c r="CN64" s="203"/>
      <c r="CO64" s="498"/>
    </row>
    <row r="65" ht="18.75">
      <c r="A65" s="504"/>
      <c r="L65" s="205">
        <v>11</v>
      </c>
      <c r="M65" s="218">
        <v>0</v>
      </c>
      <c r="N65" s="206" t="s">
        <v>183</v>
      </c>
      <c r="O65" s="205"/>
      <c r="P65" s="205"/>
      <c r="Q65" s="205" t="str">
        <f>تسعير!$AT$24</f>
        <v>الشرقية</v>
      </c>
      <c r="R65" s="204"/>
      <c r="S65" s="230">
        <f>SUMIF(Table176978[Column1],Table16126776[[#This Row],[موقع العمل]],$AC$2:$AC$20)</f>
        <v>900</v>
      </c>
      <c r="T65" s="230"/>
      <c r="U65" s="220">
        <f>Table16126776[[#This Row],[Column12]]</f>
        <v>900</v>
      </c>
      <c r="V65" s="221">
        <f t="shared" si="15" ca="1"/>
        <v>0</v>
      </c>
      <c r="W65" s="222">
        <f t="shared" si="16" ca="1"/>
        <v>0</v>
      </c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498"/>
      <c r="AU65" s="203"/>
      <c r="AV65" s="504"/>
      <c r="BG65" s="205">
        <v>11</v>
      </c>
      <c r="BH65" s="218">
        <v>0</v>
      </c>
      <c r="BI65" s="206" t="s">
        <v>183</v>
      </c>
      <c r="BJ65" s="205"/>
      <c r="BK65" s="205"/>
      <c r="BL65" s="205" t="str">
        <f>تسعير!$BE$24</f>
        <v>الاسماعيلية</v>
      </c>
      <c r="BM65" s="204"/>
      <c r="BN65" s="230">
        <f>SUMIF(Table17697888[Column1],Table1612677686[[#This Row],[موقع العمل]],$AC$2:$AC$20)</f>
        <v>1200</v>
      </c>
      <c r="BO65" s="230"/>
      <c r="BP65" s="220">
        <f>Table1612677686[[#This Row],[Column12]]</f>
        <v>1200</v>
      </c>
      <c r="BQ65" s="221">
        <f t="shared" si="17" ca="1"/>
        <v>0</v>
      </c>
      <c r="BR65" s="557">
        <f t="shared" si="18" ca="1"/>
        <v>0</v>
      </c>
      <c r="BS65" s="203"/>
      <c r="BT65" s="203"/>
      <c r="BU65" s="203"/>
      <c r="BV65" s="203"/>
      <c r="BW65" s="203"/>
      <c r="BX65" s="203"/>
      <c r="BY65" s="203"/>
      <c r="BZ65" s="203"/>
      <c r="CA65" s="203"/>
      <c r="CB65" s="203"/>
      <c r="CC65" s="203"/>
      <c r="CD65" s="203"/>
      <c r="CE65" s="203"/>
      <c r="CF65" s="203"/>
      <c r="CG65" s="203"/>
      <c r="CH65" s="203"/>
      <c r="CI65" s="203"/>
      <c r="CJ65" s="203"/>
      <c r="CK65" s="203"/>
      <c r="CL65" s="203"/>
      <c r="CM65" s="203"/>
      <c r="CN65" s="203"/>
      <c r="CO65" s="498"/>
    </row>
    <row r="66" ht="18.75">
      <c r="A66" s="504"/>
      <c r="L66" s="205">
        <v>12</v>
      </c>
      <c r="M66" s="218">
        <f>IF((تسعير!$AU$14="بالتات"),1,2)</f>
        <v>2</v>
      </c>
      <c r="N66" s="206" t="s">
        <v>184</v>
      </c>
      <c r="O66" s="205"/>
      <c r="P66" s="205"/>
      <c r="Q66" s="205" t="str">
        <f>تسعير!$AT$24</f>
        <v>الشرقية</v>
      </c>
      <c r="R66" s="204"/>
      <c r="S66" s="230">
        <f>SUMIF(Table176978[Column1],Table16126776[[#This Row],[موقع العمل]],$AD$2:$AD$20)</f>
        <v>1600</v>
      </c>
      <c r="T66" s="230"/>
      <c r="U66" s="220">
        <f>Table16126776[[#This Row],[Column12]]</f>
        <v>1600</v>
      </c>
      <c r="V66" s="221">
        <f t="shared" si="15" ca="1"/>
        <v>3200</v>
      </c>
      <c r="W66" s="222">
        <f t="shared" si="16" ca="1"/>
        <v>0.020367978075908396</v>
      </c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498"/>
      <c r="AU66" s="203"/>
      <c r="AV66" s="504"/>
      <c r="BG66" s="205">
        <v>12</v>
      </c>
      <c r="BH66" s="218">
        <f>IF((تسعير!$AU$14="بالتات"),1,2)</f>
        <v>2</v>
      </c>
      <c r="BI66" s="206" t="s">
        <v>184</v>
      </c>
      <c r="BJ66" s="205"/>
      <c r="BK66" s="205"/>
      <c r="BL66" s="205" t="str">
        <f>تسعير!$BE$24</f>
        <v>الاسماعيلية</v>
      </c>
      <c r="BM66" s="204"/>
      <c r="BN66" s="230">
        <f>SUMIF(Table17697888[Column1],Table1612677686[[#This Row],[موقع العمل]],$AD$2:$AD$20)</f>
        <v>2300</v>
      </c>
      <c r="BO66" s="230"/>
      <c r="BP66" s="220">
        <f>Table1612677686[[#This Row],[Column12]]</f>
        <v>2300</v>
      </c>
      <c r="BQ66" s="221">
        <f t="shared" si="17" ca="1"/>
        <v>4600</v>
      </c>
      <c r="BR66" s="557">
        <f t="shared" si="18" ca="1"/>
        <v>0.029278968484118321</v>
      </c>
      <c r="BS66" s="203"/>
      <c r="BT66" s="203"/>
      <c r="BU66" s="203"/>
      <c r="BV66" s="203"/>
      <c r="BW66" s="203"/>
      <c r="BX66" s="203"/>
      <c r="BY66" s="203"/>
      <c r="BZ66" s="203"/>
      <c r="CA66" s="203"/>
      <c r="CB66" s="203"/>
      <c r="CC66" s="203"/>
      <c r="CD66" s="203"/>
      <c r="CE66" s="203"/>
      <c r="CF66" s="203"/>
      <c r="CG66" s="203"/>
      <c r="CH66" s="203"/>
      <c r="CI66" s="203"/>
      <c r="CJ66" s="203"/>
      <c r="CK66" s="203"/>
      <c r="CL66" s="203"/>
      <c r="CM66" s="203"/>
      <c r="CN66" s="203"/>
      <c r="CO66" s="498"/>
    </row>
    <row r="67" ht="18.75">
      <c r="A67" s="504"/>
      <c r="L67" s="205">
        <v>13</v>
      </c>
      <c r="M67" s="218">
        <f>IF((تسعير!$AU$14="بالتات"),0,M64-2)</f>
        <v>7</v>
      </c>
      <c r="N67" s="206" t="s">
        <v>49</v>
      </c>
      <c r="O67" s="205"/>
      <c r="P67" s="205"/>
      <c r="Q67" s="205" t="str">
        <f>تسعير!$AT$24</f>
        <v>الشرقية</v>
      </c>
      <c r="R67" s="204"/>
      <c r="S67" s="230">
        <f>SUMIF(Table176978[Column1],Table16126776[[#This Row],[موقع العمل]],$AE$2:$AE$8)</f>
        <v>0</v>
      </c>
      <c r="T67" s="230"/>
      <c r="U67" s="220">
        <f>Table16126776[[#This Row],[Column12]]</f>
        <v>0</v>
      </c>
      <c r="V67" s="221">
        <f t="shared" si="15" ca="1"/>
        <v>0</v>
      </c>
      <c r="W67" s="222">
        <f t="shared" si="16" ca="1"/>
        <v>0</v>
      </c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498"/>
      <c r="AU67" s="203"/>
      <c r="AV67" s="504"/>
      <c r="BG67" s="205">
        <v>13</v>
      </c>
      <c r="BH67" s="218">
        <f>IF((تسعير!$AU$14="بالتات"),0,BH64-2)</f>
        <v>7</v>
      </c>
      <c r="BI67" s="206" t="s">
        <v>49</v>
      </c>
      <c r="BJ67" s="205"/>
      <c r="BK67" s="205"/>
      <c r="BL67" s="205" t="str">
        <f>تسعير!$BE$24</f>
        <v>الاسماعيلية</v>
      </c>
      <c r="BM67" s="204"/>
      <c r="BN67" s="230">
        <f>SUMIF(Table17697888[Column1],Table1612677686[[#This Row],[موقع العمل]],$AE$2:$AE$8)</f>
        <v>0</v>
      </c>
      <c r="BO67" s="230"/>
      <c r="BP67" s="220">
        <f>Table1612677686[[#This Row],[Column12]]</f>
        <v>0</v>
      </c>
      <c r="BQ67" s="221">
        <f t="shared" si="17" ca="1"/>
        <v>0</v>
      </c>
      <c r="BR67" s="557">
        <f t="shared" si="18" ca="1"/>
        <v>0</v>
      </c>
      <c r="BS67" s="203"/>
      <c r="BT67" s="203"/>
      <c r="BU67" s="203"/>
      <c r="BV67" s="203"/>
      <c r="BW67" s="203"/>
      <c r="BX67" s="203"/>
      <c r="BY67" s="203"/>
      <c r="BZ67" s="203"/>
      <c r="CA67" s="203"/>
      <c r="CB67" s="203"/>
      <c r="CC67" s="203"/>
      <c r="CD67" s="203"/>
      <c r="CE67" s="203"/>
      <c r="CF67" s="203"/>
      <c r="CG67" s="203"/>
      <c r="CH67" s="203"/>
      <c r="CI67" s="203"/>
      <c r="CJ67" s="203"/>
      <c r="CK67" s="203"/>
      <c r="CL67" s="203"/>
      <c r="CM67" s="203"/>
      <c r="CN67" s="203"/>
      <c r="CO67" s="498"/>
    </row>
    <row r="68" ht="18.75">
      <c r="A68" s="504"/>
      <c r="L68" s="559" t="s">
        <v>88</v>
      </c>
      <c r="M68" s="560"/>
      <c r="N68" s="561" t="s">
        <v>88</v>
      </c>
      <c r="O68" s="559"/>
      <c r="P68" s="559"/>
      <c r="Q68" s="562"/>
      <c r="R68" s="562"/>
      <c r="S68" s="563">
        <f>SUBTOTAL(109,Table16126776[Column12])</f>
        <v>2625</v>
      </c>
      <c r="T68" s="559"/>
      <c r="U68" s="564"/>
      <c r="V68" s="565">
        <f>SUBTOTAL(109,Table16126776[اجمالي])</f>
        <v>12850</v>
      </c>
      <c r="W68" s="566">
        <f>Table16126776[[#Totals],[اجمالي]]/$R$71</f>
        <v>0.081790161961069655</v>
      </c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498"/>
      <c r="AU68" s="203"/>
      <c r="AV68" s="504"/>
      <c r="BG68" s="559" t="s">
        <v>88</v>
      </c>
      <c r="BH68" s="560"/>
      <c r="BI68" s="561" t="s">
        <v>88</v>
      </c>
      <c r="BJ68" s="559"/>
      <c r="BK68" s="559"/>
      <c r="BL68" s="562"/>
      <c r="BM68" s="562"/>
      <c r="BN68" s="563">
        <f>SUBTOTAL(109,Table1612677686[Column12])</f>
        <v>3700</v>
      </c>
      <c r="BO68" s="559"/>
      <c r="BP68" s="564"/>
      <c r="BQ68" s="565">
        <f>SUBTOTAL(109,Table1612677686[اجمالي])</f>
        <v>15900</v>
      </c>
      <c r="BR68" s="566">
        <f>Table1612677686[[#Totals],[اجمالي]]/$R$71</f>
        <v>0.10120339106466984</v>
      </c>
      <c r="BS68" s="203"/>
      <c r="BT68" s="203"/>
      <c r="BU68" s="203"/>
      <c r="BV68" s="203"/>
      <c r="BW68" s="203"/>
      <c r="BX68" s="203"/>
      <c r="BY68" s="203"/>
      <c r="BZ68" s="203"/>
      <c r="CA68" s="203"/>
      <c r="CB68" s="203"/>
      <c r="CC68" s="203"/>
      <c r="CD68" s="203"/>
      <c r="CE68" s="203"/>
      <c r="CF68" s="203"/>
      <c r="CG68" s="203"/>
      <c r="CH68" s="203"/>
      <c r="CI68" s="203"/>
      <c r="CJ68" s="203"/>
      <c r="CK68" s="203"/>
      <c r="CL68" s="203"/>
      <c r="CM68" s="203"/>
      <c r="CN68" s="203"/>
      <c r="CO68" s="498"/>
    </row>
    <row r="69" ht="18.75">
      <c r="A69" s="504"/>
      <c r="L69" s="203"/>
      <c r="M69" s="203"/>
      <c r="N69" s="231"/>
      <c r="O69" s="630"/>
      <c r="P69" s="630"/>
      <c r="Q69" s="630"/>
      <c r="R69" s="630"/>
      <c r="S69" s="630"/>
      <c r="T69" s="630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498"/>
      <c r="AU69" s="203"/>
      <c r="AV69" s="90"/>
      <c r="BG69" s="203"/>
      <c r="BH69" s="203"/>
      <c r="BI69" s="231"/>
      <c r="BJ69" s="630"/>
      <c r="BK69" s="630"/>
      <c r="BL69" s="630"/>
      <c r="BM69" s="630"/>
      <c r="BN69" s="630"/>
      <c r="BO69" s="630"/>
      <c r="BP69" s="203"/>
      <c r="BQ69" s="203"/>
      <c r="BR69" s="203"/>
      <c r="BS69" s="203"/>
      <c r="BT69" s="203"/>
      <c r="BU69" s="203"/>
      <c r="BV69" s="203"/>
      <c r="BW69" s="203"/>
      <c r="BX69" s="203"/>
      <c r="BY69" s="203"/>
      <c r="BZ69" s="203"/>
      <c r="CA69" s="203"/>
      <c r="CB69" s="203"/>
      <c r="CC69" s="203"/>
      <c r="CD69" s="203"/>
      <c r="CE69" s="203"/>
      <c r="CF69" s="203"/>
      <c r="CG69" s="203"/>
      <c r="CH69" s="203"/>
      <c r="CI69" s="203"/>
      <c r="CJ69" s="203"/>
      <c r="CK69" s="203"/>
      <c r="CL69" s="203"/>
      <c r="CM69" s="203"/>
      <c r="CN69" s="203"/>
      <c r="CO69" s="498"/>
    </row>
    <row r="70" ht="18.75">
      <c r="A70" s="504"/>
      <c r="L70" s="205"/>
      <c r="M70" s="205"/>
      <c r="N70" s="233" t="s">
        <v>43</v>
      </c>
      <c r="O70" s="205" t="s">
        <v>185</v>
      </c>
      <c r="P70" s="205" t="s">
        <v>186</v>
      </c>
      <c r="Q70" s="205" t="s">
        <v>133</v>
      </c>
      <c r="R70" s="205" t="s">
        <v>64</v>
      </c>
      <c r="S70" s="205"/>
      <c r="T70" s="205"/>
      <c r="U70" s="205"/>
      <c r="V70" s="234"/>
      <c r="W70" s="205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498"/>
      <c r="AU70" s="203"/>
      <c r="AV70" s="90"/>
      <c r="BG70" s="205"/>
      <c r="BH70" s="205"/>
      <c r="BI70" s="233" t="s">
        <v>43</v>
      </c>
      <c r="BJ70" s="205" t="s">
        <v>185</v>
      </c>
      <c r="BK70" s="205" t="s">
        <v>186</v>
      </c>
      <c r="BL70" s="205" t="s">
        <v>133</v>
      </c>
      <c r="BM70" s="205" t="s">
        <v>64</v>
      </c>
      <c r="BN70" s="205"/>
      <c r="BO70" s="205"/>
      <c r="BP70" s="205"/>
      <c r="BQ70" s="234"/>
      <c r="BR70" s="205"/>
      <c r="BS70" s="203"/>
      <c r="BT70" s="203"/>
      <c r="BU70" s="203"/>
      <c r="BV70" s="203"/>
      <c r="BW70" s="203"/>
      <c r="BX70" s="203"/>
      <c r="BY70" s="203"/>
      <c r="BZ70" s="203"/>
      <c r="CA70" s="203"/>
      <c r="CB70" s="203"/>
      <c r="CC70" s="203"/>
      <c r="CD70" s="203"/>
      <c r="CE70" s="203"/>
      <c r="CF70" s="203"/>
      <c r="CG70" s="203"/>
      <c r="CH70" s="203"/>
      <c r="CI70" s="203"/>
      <c r="CJ70" s="203"/>
      <c r="CK70" s="203"/>
      <c r="CL70" s="203"/>
      <c r="CM70" s="203"/>
      <c r="CN70" s="203"/>
      <c r="CO70" s="498"/>
    </row>
    <row r="71" ht="18.75">
      <c r="A71" s="504"/>
      <c r="L71" s="205"/>
      <c r="M71" s="201"/>
      <c r="N71" s="219" t="s">
        <v>187</v>
      </c>
      <c r="O71" s="204"/>
      <c r="P71" s="205"/>
      <c r="Q71" s="370"/>
      <c r="R71" s="251">
        <f>Table16126776[[#Totals],[اجمالي]]+Table16136877[[#Totals],[اجمالي]]+Table135971[[#Totals],[اجمالي]]+Table166273[[#Totals],[اجمالي]]+Table156172[[#Totals],[اجمالي]]+Table15880[[#Totals],[اجمالي]]</f>
        <v>157109.36000000002</v>
      </c>
      <c r="S71" s="205"/>
      <c r="T71" s="205"/>
      <c r="U71" s="220"/>
      <c r="V71" s="240"/>
      <c r="W71" s="241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498"/>
      <c r="AU71" s="203"/>
      <c r="AV71" s="90"/>
      <c r="BG71" s="205"/>
      <c r="BH71" s="201"/>
      <c r="BI71" s="219" t="s">
        <v>187</v>
      </c>
      <c r="BJ71" s="204"/>
      <c r="BK71" s="205"/>
      <c r="BL71" s="370"/>
      <c r="BM71" s="251">
        <f>Table1612677686[[#Totals],[اجمالي]]+Table1613687787[[#Totals],[اجمالي]]+Table13597166[[#Totals],[اجمالي]]+Table16627383[[#Totals],[اجمالي]]+Table15617282[[#Totals],[اجمالي]]+Table1588090[[#Totals],[اجمالي]]</f>
        <v>98231.209999999992</v>
      </c>
      <c r="BN71" s="205"/>
      <c r="BO71" s="205"/>
      <c r="BP71" s="220"/>
      <c r="BQ71" s="240"/>
      <c r="BR71" s="241"/>
      <c r="BS71" s="203"/>
      <c r="BT71" s="203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3"/>
      <c r="CI71" s="203"/>
      <c r="CJ71" s="203"/>
      <c r="CK71" s="203"/>
      <c r="CL71" s="203"/>
      <c r="CM71" s="203"/>
      <c r="CN71" s="203"/>
      <c r="CO71" s="498"/>
    </row>
    <row r="72" ht="19.5">
      <c r="A72" s="504"/>
      <c r="L72" s="509"/>
      <c r="M72" s="510"/>
      <c r="N72" s="511" t="s">
        <v>188</v>
      </c>
      <c r="O72" s="512"/>
      <c r="P72" s="509"/>
      <c r="Q72" s="513">
        <f>IF((Q67="المقطم"),0.3,IF((Q67="التجمع"),0.3,IF((Q67="الشيخ زايد"),0.3,IF((Q67="الاسكندرية"),0.5,0.35))))</f>
        <v>0.35</v>
      </c>
      <c r="R72" s="514">
        <f>R71*(1+Table187079[[#This Row],[Column3]])</f>
        <v>212097.63600000003</v>
      </c>
      <c r="S72" s="509"/>
      <c r="T72" s="509"/>
      <c r="U72" s="515"/>
      <c r="V72" s="516"/>
      <c r="W72" s="517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498"/>
      <c r="AU72" s="203"/>
      <c r="AV72" s="90"/>
      <c r="BG72" s="509"/>
      <c r="BH72" s="510"/>
      <c r="BI72" s="511" t="s">
        <v>188</v>
      </c>
      <c r="BJ72" s="512"/>
      <c r="BK72" s="509"/>
      <c r="BL72" s="513">
        <f>IF((BL67="المقطم"),0.3,IF((BL67="التجمع"),0.3,IF((BL67="الشيخ زايد"),0.3,IF((BL67="الاسكندرية"),0.5,0.35))))</f>
        <v>0.35</v>
      </c>
      <c r="BM72" s="514">
        <f>BM71*(1+Table18707989[[#This Row],[Column3]])</f>
        <v>132612.1335</v>
      </c>
      <c r="BN72" s="509"/>
      <c r="BO72" s="509"/>
      <c r="BP72" s="515"/>
      <c r="BQ72" s="516"/>
      <c r="BR72" s="517"/>
      <c r="BS72" s="203"/>
      <c r="BT72" s="203"/>
      <c r="BU72" s="203"/>
      <c r="BV72" s="203"/>
      <c r="BW72" s="203"/>
      <c r="BX72" s="203"/>
      <c r="BY72" s="203"/>
      <c r="BZ72" s="203"/>
      <c r="CA72" s="203"/>
      <c r="CB72" s="203"/>
      <c r="CC72" s="203"/>
      <c r="CD72" s="203"/>
      <c r="CE72" s="203"/>
      <c r="CF72" s="203"/>
      <c r="CG72" s="203"/>
      <c r="CH72" s="203"/>
      <c r="CI72" s="203"/>
      <c r="CJ72" s="203"/>
      <c r="CK72" s="203"/>
      <c r="CL72" s="203"/>
      <c r="CM72" s="203"/>
      <c r="CN72" s="203"/>
      <c r="CO72" s="498"/>
    </row>
    <row r="73" ht="18.75">
      <c r="A73" s="504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498"/>
      <c r="AU73" s="203"/>
      <c r="AV73" s="90"/>
      <c r="BS73" s="203"/>
      <c r="BT73" s="203"/>
      <c r="BU73" s="203"/>
      <c r="BV73" s="203"/>
      <c r="BW73" s="203"/>
      <c r="BX73" s="203"/>
      <c r="BY73" s="203"/>
      <c r="BZ73" s="203"/>
      <c r="CA73" s="203"/>
      <c r="CB73" s="203"/>
      <c r="CC73" s="203"/>
      <c r="CD73" s="203"/>
      <c r="CE73" s="203"/>
      <c r="CF73" s="203"/>
      <c r="CG73" s="203"/>
      <c r="CH73" s="203"/>
      <c r="CI73" s="203"/>
      <c r="CJ73" s="203"/>
      <c r="CK73" s="203"/>
      <c r="CL73" s="203"/>
      <c r="CM73" s="203"/>
      <c r="CN73" s="203"/>
      <c r="CO73" s="498"/>
    </row>
    <row r="74" ht="19.5">
      <c r="A74" s="504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498"/>
      <c r="AU74" s="203"/>
      <c r="AV74" s="90"/>
      <c r="BS74" s="203"/>
      <c r="BT74" s="203"/>
      <c r="BU74" s="203"/>
      <c r="BV74" s="203"/>
      <c r="BW74" s="203"/>
      <c r="BX74" s="203"/>
      <c r="BY74" s="203"/>
      <c r="BZ74" s="203"/>
      <c r="CA74" s="203"/>
      <c r="CB74" s="203"/>
      <c r="CC74" s="203"/>
      <c r="CD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498"/>
    </row>
    <row r="75" ht="18.75">
      <c r="A75" s="528"/>
      <c r="B75" s="529"/>
      <c r="C75" s="529"/>
      <c r="D75" s="529"/>
      <c r="E75" s="529"/>
      <c r="F75" s="529"/>
      <c r="G75" s="529"/>
      <c r="H75" s="529"/>
      <c r="I75" s="529"/>
      <c r="J75" s="529"/>
      <c r="K75" s="529"/>
      <c r="L75" s="622" t="s">
        <v>34</v>
      </c>
      <c r="M75" s="622"/>
      <c r="N75" s="622"/>
      <c r="O75" s="530" t="s">
        <v>35</v>
      </c>
      <c r="P75" s="530" t="s">
        <v>36</v>
      </c>
      <c r="Q75" s="531" t="s">
        <v>37</v>
      </c>
      <c r="R75" s="486" t="s">
        <v>38</v>
      </c>
      <c r="S75" s="486" t="s">
        <v>39</v>
      </c>
      <c r="T75" s="486" t="s">
        <v>40</v>
      </c>
      <c r="U75" s="486" t="s">
        <v>41</v>
      </c>
      <c r="V75" s="486" t="s">
        <v>42</v>
      </c>
      <c r="W75" s="487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32"/>
      <c r="AI75" s="532"/>
      <c r="AJ75" s="532"/>
      <c r="AK75" s="532"/>
      <c r="AL75" s="532"/>
      <c r="AM75" s="532"/>
      <c r="AN75" s="532"/>
      <c r="AO75" s="532"/>
      <c r="AP75" s="532"/>
      <c r="AQ75" s="532"/>
      <c r="AR75" s="532"/>
      <c r="AS75" s="532"/>
      <c r="AT75" s="533"/>
      <c r="AU75" s="203"/>
      <c r="AV75" s="558"/>
      <c r="AW75" s="529"/>
      <c r="AX75" s="529"/>
      <c r="AY75" s="529"/>
      <c r="AZ75" s="529"/>
      <c r="BA75" s="529"/>
      <c r="BB75" s="529"/>
      <c r="BC75" s="529"/>
      <c r="BD75" s="529"/>
      <c r="BE75" s="529"/>
      <c r="BF75" s="529"/>
      <c r="BG75" s="622" t="s">
        <v>34</v>
      </c>
      <c r="BH75" s="622"/>
      <c r="BI75" s="622"/>
      <c r="BJ75" s="545" t="s">
        <v>35</v>
      </c>
      <c r="BK75" s="545" t="s">
        <v>36</v>
      </c>
      <c r="BL75" s="546" t="s">
        <v>37</v>
      </c>
      <c r="BM75" s="547" t="s">
        <v>38</v>
      </c>
      <c r="BN75" s="547" t="s">
        <v>39</v>
      </c>
      <c r="BO75" s="547" t="s">
        <v>40</v>
      </c>
      <c r="BP75" s="547" t="s">
        <v>41</v>
      </c>
      <c r="BQ75" s="547" t="s">
        <v>42</v>
      </c>
      <c r="BR75" s="487"/>
      <c r="BS75" s="532"/>
      <c r="BT75" s="532"/>
      <c r="BU75" s="532"/>
      <c r="BV75" s="532"/>
      <c r="BW75" s="532"/>
      <c r="BX75" s="532"/>
      <c r="BY75" s="532"/>
      <c r="BZ75" s="532"/>
      <c r="CA75" s="532"/>
      <c r="CB75" s="532"/>
      <c r="CC75" s="532"/>
      <c r="CD75" s="532"/>
      <c r="CE75" s="532"/>
      <c r="CF75" s="532"/>
      <c r="CG75" s="532"/>
      <c r="CH75" s="532"/>
      <c r="CI75" s="532"/>
      <c r="CJ75" s="532"/>
      <c r="CK75" s="532"/>
      <c r="CL75" s="532"/>
      <c r="CM75" s="532"/>
      <c r="CN75" s="532"/>
      <c r="CO75" s="533"/>
    </row>
    <row r="76" ht="18.75">
      <c r="A76" s="504"/>
      <c r="L76" s="786"/>
      <c r="M76" s="786"/>
      <c r="N76" s="786"/>
      <c r="O76" s="520"/>
      <c r="P76" s="520"/>
      <c r="Q76" s="521">
        <f>O76*P76</f>
        <v>0</v>
      </c>
      <c r="R76" s="522" t="e">
        <f>R146/Q76</f>
        <v>#DIV/0!</v>
      </c>
      <c r="S76" s="523">
        <f>Sheet2!B90</f>
        <v>0</v>
      </c>
      <c r="T76" s="523">
        <f>Sheet2!B91</f>
        <v>0</v>
      </c>
      <c r="U76" s="523">
        <f>Sheet2!B92</f>
        <v>0</v>
      </c>
      <c r="V76" s="523">
        <f>Sheet2!B93</f>
        <v>0</v>
      </c>
      <c r="W76" s="19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498"/>
      <c r="AU76" s="203"/>
      <c r="AV76" s="90"/>
      <c r="BG76" s="786"/>
      <c r="BH76" s="786"/>
      <c r="BI76" s="786"/>
      <c r="BJ76" s="548"/>
      <c r="BK76" s="548"/>
      <c r="BL76" s="549">
        <f>BJ76*BK76</f>
        <v>0</v>
      </c>
      <c r="BM76" s="550" t="e">
        <f>BM146/BL76</f>
        <v>#DIV/0!</v>
      </c>
      <c r="BN76" s="230">
        <f>Sheet2!AW90</f>
        <v>0</v>
      </c>
      <c r="BO76" s="230">
        <f>Sheet2!AW91</f>
        <v>0</v>
      </c>
      <c r="BP76" s="230">
        <f>Sheet2!AW92</f>
        <v>0</v>
      </c>
      <c r="BQ76" s="230">
        <f>Sheet2!AW93</f>
        <v>0</v>
      </c>
      <c r="BR76" s="193"/>
      <c r="BS76" s="203"/>
      <c r="BT76" s="203"/>
      <c r="BU76" s="203"/>
      <c r="BV76" s="203"/>
      <c r="BW76" s="203"/>
      <c r="BX76" s="203"/>
      <c r="BY76" s="203"/>
      <c r="BZ76" s="203"/>
      <c r="CA76" s="203"/>
      <c r="CB76" s="203"/>
      <c r="CC76" s="203"/>
      <c r="CD76" s="203"/>
      <c r="CE76" s="203"/>
      <c r="CF76" s="203"/>
      <c r="CG76" s="203"/>
      <c r="CH76" s="203"/>
      <c r="CI76" s="203"/>
      <c r="CJ76" s="203"/>
      <c r="CK76" s="203"/>
      <c r="CL76" s="203"/>
      <c r="CM76" s="203"/>
      <c r="CN76" s="203"/>
      <c r="CO76" s="498"/>
    </row>
    <row r="77" ht="21">
      <c r="A77" s="504"/>
      <c r="L77" s="787" t="s">
        <v>51</v>
      </c>
      <c r="M77" s="787"/>
      <c r="N77" s="524" t="str">
        <f>IF(AND((I79="بالتات"),(D79&lt;=300),(F79&lt;=300)),"A11",IF(AND((I79="بالتات"),(D79&lt;=300),(F79&gt;300)),"A12",IF(AND((I79="بالتات"),(D79&gt;300),(D79&lt;=400),(F79&lt;=300)),"A21",IF(AND((I79="بالتات"),(D79&gt;300),(D79&lt;=400),(F79&gt;300)),"A22",IF(AND((I79="بالتات"),(D79&gt;400),(F79&lt;=300)),"A31",IF(AND((I79="بالتات"),(D79&gt;400),(F79&gt;300)),"A32",IF(AND((I79="قواعد عادية"),(D79&lt;=300),(F79&lt;=300)),"B11",IF(AND((I79="قواعد عادية"),(D79&lt;=300),(F79&gt;300)),"B12",IF(AND((I79="قواعد عادية"),(D79&gt;300),(D79&lt;=400),(F79&lt;=300)),"B21",IF(AND((I79="قواعد عادية"),(D79&gt;300),(D79&lt;=400),(F79&gt;300)),"B22",IF(AND((I79="قواعد عادية"),(D79&gt;400),(F79&lt;=300)),"B31",IF(AND((I79="قواعد عادية"),(D79&gt;400),(F79&gt;300)),"B32",0))))))))))))</f>
        <v>A32</v>
      </c>
      <c r="O77" s="190"/>
      <c r="P77" s="190"/>
      <c r="Q77" s="525" t="s">
        <v>52</v>
      </c>
      <c r="R77" s="632">
        <f>NOW()</f>
        <v>45133.622111550925</v>
      </c>
      <c r="S77" s="632"/>
      <c r="T77" s="632"/>
      <c r="U77" s="216"/>
      <c r="V77" s="216"/>
      <c r="W77" s="216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498"/>
      <c r="AU77" s="203"/>
      <c r="AV77" s="90"/>
      <c r="BG77" s="791" t="s">
        <v>51</v>
      </c>
      <c r="BH77" s="791"/>
      <c r="BI77" s="551" t="str">
        <f>IF(AND((BD79="بالتات"),(AY78&lt;=300),(BA78&lt;=300)),"A11",IF(AND((BD79="بالتات"),(AY78&lt;=300),(BA78&gt;300)),"A12",IF(AND((BD79="بالتات"),(AY78&gt;300),(AY78&lt;=400),(BA78&lt;=300)),"A21",IF(AND((BD79="بالتات"),(AY78&gt;300),(AY78&lt;=400),(BA78&gt;300)),"A22",IF(AND((BD79="بالتات"),(AY78&gt;400),(BA78&lt;=300)),"A31",IF(AND((BD79="بالتات"),(AY78&gt;400),(BA78&gt;300)),"A32",IF(AND((BD79="قواعد عادية"),(AY78&lt;=300),(BA78&lt;=300)),"B11",IF(AND((BD79="قواعد عادية"),(AY78&lt;=300),(BA78&gt;300)),"B12",IF(AND((BD79="قواعد عادية"),(AY78&gt;300),(AY78&lt;=400),(BA78&lt;=300)),"B21",IF(AND((BD79="قواعد عادية"),(AY78&gt;300),(AY78&lt;=400),(BA78&gt;300)),"B22",IF(AND((BD79="قواعد عادية"),(AY78&gt;400),(BA78&lt;=300)),"B31",IF(AND((BD79="قواعد عادية"),(AY78&gt;400),(BA78&gt;300)),"B32",0))))))))))))</f>
        <v>A31</v>
      </c>
      <c r="BJ77" s="190"/>
      <c r="BK77" s="190"/>
      <c r="BL77" s="525" t="s">
        <v>52</v>
      </c>
      <c r="BM77" s="632">
        <f>NOW()</f>
        <v>45133.622111550925</v>
      </c>
      <c r="BN77" s="632"/>
      <c r="BO77" s="632"/>
      <c r="BP77" s="216"/>
      <c r="BQ77" s="216"/>
      <c r="BR77" s="216"/>
      <c r="BS77" s="203"/>
      <c r="BT77" s="203"/>
      <c r="BU77" s="203"/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498"/>
    </row>
    <row r="78" ht="21">
      <c r="A78" s="504"/>
      <c r="L78" s="191"/>
      <c r="M78" s="191"/>
      <c r="N78" s="197"/>
      <c r="O78" s="629" t="s">
        <v>54</v>
      </c>
      <c r="P78" s="629"/>
      <c r="Q78" s="629"/>
      <c r="R78" s="629"/>
      <c r="S78" s="629"/>
      <c r="T78" s="629"/>
      <c r="U78" s="198"/>
      <c r="V78" s="198"/>
      <c r="W78" s="198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498"/>
      <c r="AU78" s="203"/>
      <c r="AV78" s="534" t="s">
        <v>278</v>
      </c>
      <c r="AW78" s="379">
        <f>(BA78*AY78)/10000</f>
        <v>15</v>
      </c>
      <c r="AX78" s="380" t="s">
        <v>10</v>
      </c>
      <c r="AY78" s="381">
        <f>تسعير!BE54</f>
        <v>600</v>
      </c>
      <c r="AZ78" s="380" t="s">
        <v>9</v>
      </c>
      <c r="BA78" s="381">
        <f>تسعير!BE53</f>
        <v>250</v>
      </c>
      <c r="BG78" s="191"/>
      <c r="BH78" s="191"/>
      <c r="BI78" s="197"/>
      <c r="BJ78" s="629" t="s">
        <v>54</v>
      </c>
      <c r="BK78" s="629"/>
      <c r="BL78" s="629"/>
      <c r="BM78" s="629"/>
      <c r="BN78" s="629"/>
      <c r="BO78" s="629"/>
      <c r="BP78" s="198"/>
      <c r="BQ78" s="198"/>
      <c r="BR78" s="198"/>
      <c r="BS78" s="203"/>
      <c r="BT78" s="203"/>
      <c r="BU78" s="203"/>
      <c r="BV78" s="203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3"/>
      <c r="CH78" s="203"/>
      <c r="CI78" s="203"/>
      <c r="CJ78" s="203"/>
      <c r="CK78" s="203"/>
      <c r="CL78" s="203"/>
      <c r="CM78" s="203"/>
      <c r="CN78" s="203"/>
      <c r="CO78" s="498"/>
    </row>
    <row r="79" ht="21">
      <c r="A79" s="534" t="s">
        <v>278</v>
      </c>
      <c r="B79" s="379">
        <f>(F79*D79)/10000</f>
        <v>20</v>
      </c>
      <c r="C79" s="380" t="s">
        <v>10</v>
      </c>
      <c r="D79" s="381">
        <f>تسعير!BE34</f>
        <v>500</v>
      </c>
      <c r="E79" s="380" t="s">
        <v>9</v>
      </c>
      <c r="F79" s="381">
        <f>تسعير!BE33</f>
        <v>400</v>
      </c>
      <c r="G79" s="79"/>
      <c r="H79" s="79"/>
      <c r="I79" s="79" t="str">
        <f>تسعير!BE32</f>
        <v>بالتات</v>
      </c>
      <c r="J79" s="79"/>
      <c r="K79" s="79"/>
      <c r="L79" s="191" t="s">
        <v>61</v>
      </c>
      <c r="M79" s="191" t="s">
        <v>62</v>
      </c>
      <c r="N79" s="189" t="s">
        <v>63</v>
      </c>
      <c r="O79" s="191" t="s">
        <v>64</v>
      </c>
      <c r="P79" s="191" t="s">
        <v>43</v>
      </c>
      <c r="Q79" s="191" t="s">
        <v>65</v>
      </c>
      <c r="R79" s="192" t="s">
        <v>66</v>
      </c>
      <c r="S79" s="192" t="s">
        <v>67</v>
      </c>
      <c r="T79" s="192" t="s">
        <v>409</v>
      </c>
      <c r="U79" s="192" t="s">
        <v>69</v>
      </c>
      <c r="V79" s="195" t="s">
        <v>70</v>
      </c>
      <c r="W79" s="192" t="s">
        <v>71</v>
      </c>
      <c r="X79" s="190"/>
      <c r="Y79" s="190" t="s">
        <v>43</v>
      </c>
      <c r="Z79" s="190" t="s">
        <v>44</v>
      </c>
      <c r="AA79" s="190" t="s">
        <v>45</v>
      </c>
      <c r="AB79" s="190" t="s">
        <v>46</v>
      </c>
      <c r="AC79" s="190" t="s">
        <v>47</v>
      </c>
      <c r="AD79" s="190" t="s">
        <v>48</v>
      </c>
      <c r="AE79" s="190" t="s">
        <v>49</v>
      </c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491"/>
      <c r="AU79" s="203"/>
      <c r="AV79" s="490" t="s">
        <v>43</v>
      </c>
      <c r="AW79" s="475" t="s">
        <v>62</v>
      </c>
      <c r="AX79" s="475" t="s">
        <v>399</v>
      </c>
      <c r="AY79" s="475" t="s">
        <v>64</v>
      </c>
      <c r="AZ79" s="475" t="s">
        <v>400</v>
      </c>
      <c r="BA79" s="475" t="s">
        <v>401</v>
      </c>
      <c r="BB79" s="79"/>
      <c r="BC79" s="79"/>
      <c r="BD79" s="79" t="str">
        <f>تسعير!BE52</f>
        <v>بالتات</v>
      </c>
      <c r="BE79" s="79"/>
      <c r="BF79" s="79"/>
      <c r="BG79" s="191" t="s">
        <v>61</v>
      </c>
      <c r="BH79" s="191" t="s">
        <v>62</v>
      </c>
      <c r="BI79" s="189" t="s">
        <v>63</v>
      </c>
      <c r="BJ79" s="191" t="s">
        <v>64</v>
      </c>
      <c r="BK79" s="191" t="s">
        <v>43</v>
      </c>
      <c r="BL79" s="191" t="s">
        <v>65</v>
      </c>
      <c r="BM79" s="192" t="s">
        <v>66</v>
      </c>
      <c r="BN79" s="192" t="s">
        <v>67</v>
      </c>
      <c r="BO79" s="192" t="s">
        <v>409</v>
      </c>
      <c r="BP79" s="192" t="s">
        <v>69</v>
      </c>
      <c r="BQ79" s="195" t="s">
        <v>70</v>
      </c>
      <c r="BR79" s="192" t="s">
        <v>71</v>
      </c>
      <c r="BS79" s="190"/>
      <c r="BT79" s="190" t="s">
        <v>43</v>
      </c>
      <c r="BU79" s="190" t="s">
        <v>44</v>
      </c>
      <c r="BV79" s="190" t="s">
        <v>45</v>
      </c>
      <c r="BW79" s="190" t="s">
        <v>46</v>
      </c>
      <c r="BX79" s="190" t="s">
        <v>47</v>
      </c>
      <c r="BY79" s="190" t="s">
        <v>48</v>
      </c>
      <c r="BZ79" s="190" t="s">
        <v>49</v>
      </c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491"/>
    </row>
    <row r="80" ht="18.75">
      <c r="A80" s="490" t="s">
        <v>43</v>
      </c>
      <c r="B80" s="475" t="s">
        <v>62</v>
      </c>
      <c r="C80" s="475" t="s">
        <v>399</v>
      </c>
      <c r="D80" s="475" t="s">
        <v>64</v>
      </c>
      <c r="E80" s="475" t="s">
        <v>400</v>
      </c>
      <c r="F80" s="475" t="s">
        <v>401</v>
      </c>
      <c r="H80" s="544" t="s">
        <v>402</v>
      </c>
      <c r="I80" s="544"/>
      <c r="J80" s="544" t="s">
        <v>403</v>
      </c>
      <c r="L80" s="492">
        <v>1</v>
      </c>
      <c r="M80" s="493">
        <f>IF(OR((N77="a11"),(N77="a112"),(N77="a21"),(N77="a22"),(N77="a31"),(N77="a32")),2,4)</f>
        <v>2</v>
      </c>
      <c r="N80" s="219" t="s">
        <v>413</v>
      </c>
      <c r="O80" s="495">
        <v>0.15</v>
      </c>
      <c r="P80" s="495">
        <v>0.15</v>
      </c>
      <c r="Q80" s="205">
        <f>(Table15880101[[#This Row],[Column1]]+Table15880101[[#This Row],[Column2]])*12*Table15880101[[#This Row],[عدد]]</f>
        <v>7.1999999999999993</v>
      </c>
      <c r="R80" s="492"/>
      <c r="S80" s="492">
        <v>84</v>
      </c>
      <c r="T80" s="492">
        <f>Table15880101[[#This Row],[المسطح]]*Table15880101[[#This Row],[عدد]]</f>
        <v>14.399999999999999</v>
      </c>
      <c r="U80" s="496">
        <f>S80*$S$2/1000</f>
        <v>3864</v>
      </c>
      <c r="V80" s="497">
        <f>M80*U80</f>
        <v>7728</v>
      </c>
      <c r="W80" s="222">
        <f>(V80)/$R$71</f>
        <v>0.049188667053318778</v>
      </c>
      <c r="X80" s="190"/>
      <c r="Y80" s="203" t="s">
        <v>50</v>
      </c>
      <c r="Z80" s="203">
        <v>0</v>
      </c>
      <c r="AA80" s="203">
        <v>0</v>
      </c>
      <c r="AB80" s="203">
        <v>0</v>
      </c>
      <c r="AC80" s="203">
        <v>500</v>
      </c>
      <c r="AD80" s="203">
        <v>1000</v>
      </c>
      <c r="AE80" s="203">
        <v>0</v>
      </c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491"/>
      <c r="AU80" s="203"/>
      <c r="AV80" s="490" t="s">
        <v>404</v>
      </c>
      <c r="AW80" s="476">
        <f>ROUNDUP((12+((ROUNDUP((AY78-210),18))/18)),0)</f>
        <v>34</v>
      </c>
      <c r="AX80" s="477">
        <f>BA78-16.5</f>
        <v>233.5</v>
      </c>
      <c r="AY80" s="475" t="s">
        <v>405</v>
      </c>
      <c r="AZ80" s="475">
        <v>2</v>
      </c>
      <c r="BA80" s="475">
        <f>IF((تسعير!$BE$46="سادة"),(BE3*BC3*AZ3*(Sheet2!$B$14+12000)/1000),(BE3*BC3*AZ3*(Sheet2!$B$14+Sheet2!$B$15)/1000))</f>
        <v>32640</v>
      </c>
      <c r="BC80" s="544" t="s">
        <v>402</v>
      </c>
      <c r="BD80" s="544"/>
      <c r="BE80" s="544" t="s">
        <v>403</v>
      </c>
      <c r="BG80" s="492">
        <v>1</v>
      </c>
      <c r="BH80" s="493">
        <f>IF(OR((BI77="a11"),(BI77="a112"),(BI77="a21"),(BI77="a22"),(BI77="a31"),(BI77="a32")),2,4)</f>
        <v>2</v>
      </c>
      <c r="BI80" s="219" t="s">
        <v>413</v>
      </c>
      <c r="BJ80" s="495">
        <v>0.15</v>
      </c>
      <c r="BK80" s="495">
        <v>0.15</v>
      </c>
      <c r="BL80" s="205">
        <f>(Table15880101112[[#This Row],[Column1]]+Table15880101112[[#This Row],[Column2]])*12*Table15880101112[[#This Row],[عدد]]</f>
        <v>7.1999999999999993</v>
      </c>
      <c r="BM80" s="492"/>
      <c r="BN80" s="492">
        <v>84</v>
      </c>
      <c r="BO80" s="492">
        <f>Table15880101112[[#This Row],[المسطح]]*Table15880101112[[#This Row],[عدد]]</f>
        <v>14.399999999999999</v>
      </c>
      <c r="BP80" s="496">
        <f>BN80*$S$2/1000</f>
        <v>3864</v>
      </c>
      <c r="BQ80" s="497">
        <f>BH80*BP80</f>
        <v>7728</v>
      </c>
      <c r="BR80" s="222">
        <f>(BQ80)/$R$71</f>
        <v>0.049188667053318778</v>
      </c>
      <c r="BS80" s="190"/>
      <c r="BT80" s="203" t="s">
        <v>50</v>
      </c>
      <c r="BU80" s="203">
        <v>0</v>
      </c>
      <c r="BV80" s="203">
        <v>0</v>
      </c>
      <c r="BW80" s="203">
        <v>0</v>
      </c>
      <c r="BX80" s="203">
        <v>500</v>
      </c>
      <c r="BY80" s="203">
        <v>1000</v>
      </c>
      <c r="BZ80" s="203">
        <v>0</v>
      </c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491"/>
    </row>
    <row r="81" ht="18.75">
      <c r="A81" s="490" t="s">
        <v>404</v>
      </c>
      <c r="B81" s="476">
        <f>ROUNDUP((12+((ROUNDUP((D79-210),15))/15)),0)</f>
        <v>32</v>
      </c>
      <c r="C81" s="477">
        <f>F79-16.5</f>
        <v>383.5</v>
      </c>
      <c r="D81" s="475" t="s">
        <v>405</v>
      </c>
      <c r="E81" s="475">
        <v>2.5</v>
      </c>
      <c r="F81" s="475">
        <f>IF((تسعير!$BE$26="سادة"),(J81*H81*E81*(Sheet2!$B$14+12000)/1000),(J81*H81*E81*(Sheet2!$B$14+Sheet2!$B$15)/1000))</f>
        <v>52480</v>
      </c>
      <c r="H81" s="474">
        <f>IF(AND((C81&gt;=150),(C81&lt;201)),4,IF(AND((C81&gt;=201),(C81&lt;251)),5,IF(AND((C81&gt;=251),(C81&lt;401)),4,IF(AND((C81&gt;=401),(C81&lt;501)),5,0))))</f>
        <v>4</v>
      </c>
      <c r="I81" s="552">
        <f ref="I81:I86" t="shared" si="21">(H81*100)/C81</f>
        <v>1.0430247718383312</v>
      </c>
      <c r="J81" s="10">
        <f ref="J81:J86" t="shared" si="22">B81/(ROUNDDOWN(I81,0))</f>
        <v>32</v>
      </c>
      <c r="L81" s="492">
        <v>2</v>
      </c>
      <c r="M81" s="493">
        <f>IF((N77="A11"),2,IF((N77="A12"),3,IF((N77="A21"),3,IF((N77="A22"),4,IF((N77="B11"),2,IF((N77="B12"),3,IF((N77="B21"),3,IF((N77="B22"),4,IF((N77="A31"),3,IF((N77="A32"),4,IF((N77="B31"),3,IF((N77="B32"),4,0))))))))))))</f>
        <v>4</v>
      </c>
      <c r="N81" s="494" t="s">
        <v>415</v>
      </c>
      <c r="O81" s="495">
        <v>0.05</v>
      </c>
      <c r="P81" s="495">
        <v>0.15</v>
      </c>
      <c r="Q81" s="205">
        <f>(Table15880101[[#This Row],[Column1]]+Table15880101[[#This Row],[Column2]])*12*Table15880101[[#This Row],[عدد]]</f>
        <v>9.6000000000000014</v>
      </c>
      <c r="R81" s="492"/>
      <c r="S81" s="492">
        <v>37</v>
      </c>
      <c r="T81" s="492">
        <f>Table15880101[[#This Row],[المسطح]]*Table15880101[[#This Row],[عدد]]</f>
        <v>38.400000000000006</v>
      </c>
      <c r="U81" s="496">
        <f>S81*$S$2/1000</f>
        <v>1702</v>
      </c>
      <c r="V81" s="497">
        <f>M81*U81</f>
        <v>6808</v>
      </c>
      <c r="W81" s="222">
        <f>(V81)/$R$71</f>
        <v>0.043332873356495112</v>
      </c>
      <c r="X81" s="190"/>
      <c r="Y81" s="203" t="s">
        <v>53</v>
      </c>
      <c r="Z81" s="203">
        <v>60</v>
      </c>
      <c r="AA81" s="203">
        <v>120</v>
      </c>
      <c r="AB81" s="203">
        <v>75</v>
      </c>
      <c r="AC81" s="203">
        <v>900</v>
      </c>
      <c r="AD81" s="203">
        <v>1600</v>
      </c>
      <c r="AE81" s="203">
        <v>300</v>
      </c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491"/>
      <c r="AU81" s="203"/>
      <c r="AV81" s="490" t="s">
        <v>406</v>
      </c>
      <c r="AW81" s="475">
        <v>2</v>
      </c>
      <c r="AX81" s="476">
        <f>BA78</f>
        <v>250</v>
      </c>
      <c r="AY81" s="475" t="s">
        <v>405</v>
      </c>
      <c r="AZ81" s="475">
        <v>1.7</v>
      </c>
      <c r="BA81" s="475">
        <f>IF((تسعير!$BE$46="سادة"),(BE4*BC4*AZ4*(Sheet2!$B$14+12000)/1000),(BE4*BC4*AZ4*(Sheet2!$B$14+Sheet2!$B$15)/1000))</f>
        <v>1632</v>
      </c>
      <c r="BC81" s="474">
        <f>IF(AND((AX80&gt;=150),(AX80&lt;201)),4,IF(AND((AX80&gt;=201),(AX80&lt;251)),5,IF(AND((AX80&gt;=251),(AX80&lt;401)),4,IF(AND((AX80&gt;=401),(AX80&lt;501)),5,0))))</f>
        <v>5</v>
      </c>
      <c r="BD81" s="543">
        <f>(BC81*100)/AX80</f>
        <v>2.1413276231263385</v>
      </c>
      <c r="BE81" s="10">
        <f>AW80/(ROUNDDOWN(BD81,0))</f>
        <v>17</v>
      </c>
      <c r="BG81" s="492">
        <v>2</v>
      </c>
      <c r="BH81" s="493">
        <f>IF((BI77="A11"),2,IF((BI77="A12"),3,IF((BI77="A21"),3,IF((BI77="A22"),4,IF((BI77="B11"),2,IF((BI77="B12"),3,IF((BI77="B21"),3,IF((BI77="B22"),4,IF((BI77="A31"),3,IF((BI77="A32"),4,IF((BI77="B31"),3,IF((BI77="B32"),4,0))))))))))))</f>
        <v>3</v>
      </c>
      <c r="BI81" s="494" t="s">
        <v>415</v>
      </c>
      <c r="BJ81" s="495">
        <v>0.05</v>
      </c>
      <c r="BK81" s="495">
        <v>0.15</v>
      </c>
      <c r="BL81" s="205">
        <f>(Table15880101112[[#This Row],[Column1]]+Table15880101112[[#This Row],[Column2]])*12*Table15880101112[[#This Row],[عدد]]</f>
        <v>7.2000000000000011</v>
      </c>
      <c r="BM81" s="492"/>
      <c r="BN81" s="492">
        <v>37</v>
      </c>
      <c r="BO81" s="492">
        <f>Table15880101112[[#This Row],[المسطح]]*Table15880101112[[#This Row],[عدد]]</f>
        <v>21.6</v>
      </c>
      <c r="BP81" s="496">
        <f>BN81*$S$2/1000</f>
        <v>1702</v>
      </c>
      <c r="BQ81" s="497">
        <f>BH81*BP81</f>
        <v>5106</v>
      </c>
      <c r="BR81" s="222">
        <f>(BQ81)/$R$71</f>
        <v>0.032499655017371336</v>
      </c>
      <c r="BS81" s="190"/>
      <c r="BT81" s="203" t="s">
        <v>53</v>
      </c>
      <c r="BU81" s="203">
        <v>60</v>
      </c>
      <c r="BV81" s="203">
        <v>120</v>
      </c>
      <c r="BW81" s="203">
        <v>75</v>
      </c>
      <c r="BX81" s="203">
        <v>900</v>
      </c>
      <c r="BY81" s="203">
        <v>1600</v>
      </c>
      <c r="BZ81" s="203">
        <v>300</v>
      </c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491"/>
    </row>
    <row r="82" ht="18.75">
      <c r="A82" s="490" t="s">
        <v>406</v>
      </c>
      <c r="B82" s="475">
        <v>2</v>
      </c>
      <c r="C82" s="476">
        <f>F79</f>
        <v>400</v>
      </c>
      <c r="D82" s="475" t="s">
        <v>405</v>
      </c>
      <c r="E82" s="475">
        <v>5.7</v>
      </c>
      <c r="F82" s="475">
        <f>IF((تسعير!$BE$26="سادة"),(J82*H82*E82*(Sheet2!$B$14+12000)/1000),(J82*H82*E82*(Sheet2!$B$14+Sheet2!$B$15)/1000))</f>
        <v>9348</v>
      </c>
      <c r="G82" s="383"/>
      <c r="H82" s="474">
        <f ref="H82:H85" t="shared" si="23">IF(AND((C82&gt;=200),(C82&lt;350)),5,IF(AND((C82&gt;=350),(C82&lt;400)),7,IF(AND((C82&gt;=400),(C82&lt;501)),5,IF(AND((C82&gt;=501),(C82&lt;701)),7,0))))</f>
        <v>5</v>
      </c>
      <c r="I82" s="552">
        <f t="shared" si="21"/>
        <v>1.25</v>
      </c>
      <c r="J82" s="10">
        <f t="shared" si="22"/>
        <v>2</v>
      </c>
      <c r="K82" s="383"/>
      <c r="L82" s="492">
        <v>3</v>
      </c>
      <c r="M82" s="493">
        <f>IF((N77="A11"),2,IF((N77="A12"),3,IF((N77="A21"),3,IF((N77="A22"),4,IF((N77="B11"),2,IF((N77="B12"),3,IF((N77="B21"),3,IF((N77="B22"),4,IF((N77="A31"),3,IF((N77="A32"),4,IF((N77="B31"),3,IF((N77="B32"),4,0))))))))))))</f>
        <v>4</v>
      </c>
      <c r="N82" s="219" t="s">
        <v>418</v>
      </c>
      <c r="O82" s="495">
        <v>0.03</v>
      </c>
      <c r="P82" s="495">
        <v>0.03</v>
      </c>
      <c r="Q82" s="205">
        <f>(Table15880101[[#This Row],[Column1]]+Table15880101[[#This Row],[Column2]])*12*Table15880101[[#This Row],[عدد]]</f>
        <v>2.88</v>
      </c>
      <c r="R82" s="492"/>
      <c r="S82" s="492">
        <v>5</v>
      </c>
      <c r="T82" s="492">
        <f>Table15880101[[#This Row],[المسطح]]*Table15880101[[#This Row],[عدد]]</f>
        <v>11.52</v>
      </c>
      <c r="U82" s="496">
        <f>S82*$S$2/1000</f>
        <v>230</v>
      </c>
      <c r="V82" s="497">
        <f>M82*U82</f>
        <v>920</v>
      </c>
      <c r="W82" s="222">
        <f>(V82)/$R$71</f>
        <v>0.0058557936968236645</v>
      </c>
      <c r="X82" s="190"/>
      <c r="Y82" s="203" t="s">
        <v>55</v>
      </c>
      <c r="Z82" s="203">
        <v>120</v>
      </c>
      <c r="AA82" s="203">
        <v>200</v>
      </c>
      <c r="AB82" s="203">
        <v>75</v>
      </c>
      <c r="AC82" s="203">
        <v>1100</v>
      </c>
      <c r="AD82" s="203">
        <v>1800</v>
      </c>
      <c r="AE82" s="203">
        <v>100</v>
      </c>
      <c r="AF82" s="190" t="s">
        <v>56</v>
      </c>
      <c r="AG82" s="190"/>
      <c r="AH82" s="190"/>
      <c r="AI82" s="190"/>
      <c r="AJ82" s="190" t="s">
        <v>57</v>
      </c>
      <c r="AK82" s="190" t="s">
        <v>58</v>
      </c>
      <c r="AL82" s="190" t="s">
        <v>59</v>
      </c>
      <c r="AM82" s="190" t="s">
        <v>60</v>
      </c>
      <c r="AN82" s="190"/>
      <c r="AO82" s="190" t="s">
        <v>43</v>
      </c>
      <c r="AP82" s="190" t="s">
        <v>64</v>
      </c>
      <c r="AQ82" s="190" t="s">
        <v>133</v>
      </c>
      <c r="AR82" s="190" t="s">
        <v>60</v>
      </c>
      <c r="AS82" s="190" t="s">
        <v>285</v>
      </c>
      <c r="AT82" s="491"/>
      <c r="AU82" s="203"/>
      <c r="AV82" s="490" t="s">
        <v>408</v>
      </c>
      <c r="AW82" s="475">
        <v>2</v>
      </c>
      <c r="AX82" s="476">
        <f>AY78</f>
        <v>600</v>
      </c>
      <c r="AY82" s="475" t="s">
        <v>405</v>
      </c>
      <c r="AZ82" s="475">
        <v>1.7</v>
      </c>
      <c r="BA82" s="475">
        <f>IF((تسعير!$BE$46="سادة"),(BE5*BC5*AZ5*(Sheet2!$B$14+12000)/1000),(BE5*BC5*AZ5*(Sheet2!$B$14+Sheet2!$B$15)/1000))</f>
        <v>4569.6</v>
      </c>
      <c r="BB82" s="383"/>
      <c r="BC82" s="474">
        <f>IF(AND((AX81&gt;=200),(AX81&lt;350)),5,IF(AND((AX81&gt;=350),(AX81&lt;400)),7,IF(AND((AX81&gt;=400),(AX81&lt;501)),5,IF(AND((AX81&gt;=501),(AX81&lt;701)),7,0))))</f>
        <v>5</v>
      </c>
      <c r="BD82" s="543">
        <f>(BC82*100)/AX81</f>
        <v>2</v>
      </c>
      <c r="BE82" s="10">
        <f>AW81/(ROUNDDOWN(BD82,0))</f>
        <v>1</v>
      </c>
      <c r="BF82" s="383"/>
      <c r="BG82" s="492">
        <v>3</v>
      </c>
      <c r="BH82" s="493">
        <f>IF((BI77="A11"),2,IF((BI77="A12"),3,IF((BI77="A21"),3,IF((BI77="A22"),4,IF((BI77="B11"),2,IF((BI77="B12"),3,IF((BI77="B21"),3,IF((BI77="B22"),4,IF((BI77="A31"),3,IF((BI77="A32"),4,IF((BI77="B31"),3,IF((BI77="B32"),4,0))))))))))))</f>
        <v>3</v>
      </c>
      <c r="BI82" s="219" t="s">
        <v>418</v>
      </c>
      <c r="BJ82" s="495">
        <v>0.03</v>
      </c>
      <c r="BK82" s="495">
        <v>0.03</v>
      </c>
      <c r="BL82" s="205">
        <f>(Table15880101112[[#This Row],[Column1]]+Table15880101112[[#This Row],[Column2]])*12*Table15880101112[[#This Row],[عدد]]</f>
        <v>2.16</v>
      </c>
      <c r="BM82" s="492"/>
      <c r="BN82" s="492">
        <v>5</v>
      </c>
      <c r="BO82" s="492">
        <f>Table15880101112[[#This Row],[المسطح]]*Table15880101112[[#This Row],[عدد]]</f>
        <v>6.48</v>
      </c>
      <c r="BP82" s="496">
        <f>BN82*$S$2/1000</f>
        <v>230</v>
      </c>
      <c r="BQ82" s="497">
        <f>BH82*BP82</f>
        <v>690</v>
      </c>
      <c r="BR82" s="222">
        <f>(BQ82)/$R$71</f>
        <v>0.0043918452726177479</v>
      </c>
      <c r="BS82" s="190"/>
      <c r="BT82" s="203" t="s">
        <v>55</v>
      </c>
      <c r="BU82" s="203">
        <v>120</v>
      </c>
      <c r="BV82" s="203">
        <v>200</v>
      </c>
      <c r="BW82" s="203">
        <v>75</v>
      </c>
      <c r="BX82" s="203">
        <v>1100</v>
      </c>
      <c r="BY82" s="203">
        <v>1800</v>
      </c>
      <c r="BZ82" s="203">
        <v>100</v>
      </c>
      <c r="CA82" s="190" t="s">
        <v>56</v>
      </c>
      <c r="CB82" s="190"/>
      <c r="CC82" s="190"/>
      <c r="CD82" s="190"/>
      <c r="CE82" s="190" t="s">
        <v>57</v>
      </c>
      <c r="CF82" s="190" t="s">
        <v>58</v>
      </c>
      <c r="CG82" s="190" t="s">
        <v>59</v>
      </c>
      <c r="CH82" s="190" t="s">
        <v>60</v>
      </c>
      <c r="CI82" s="190"/>
      <c r="CJ82" s="190" t="s">
        <v>43</v>
      </c>
      <c r="CK82" s="190" t="s">
        <v>64</v>
      </c>
      <c r="CL82" s="190" t="s">
        <v>133</v>
      </c>
      <c r="CM82" s="190" t="s">
        <v>60</v>
      </c>
      <c r="CN82" s="190" t="s">
        <v>285</v>
      </c>
      <c r="CO82" s="491"/>
    </row>
    <row r="83" ht="18.75">
      <c r="A83" s="490" t="s">
        <v>408</v>
      </c>
      <c r="B83" s="475">
        <v>2</v>
      </c>
      <c r="C83" s="476">
        <f>D79</f>
        <v>500</v>
      </c>
      <c r="D83" s="475" t="s">
        <v>405</v>
      </c>
      <c r="E83" s="475">
        <v>5.7</v>
      </c>
      <c r="F83" s="475">
        <f>IF((تسعير!$BE$26="سادة"),(J83*H83*E83*(Sheet2!$B$14+12000)/1000),(J83*H83*E83*(Sheet2!$B$14+Sheet2!$B$15)/1000))</f>
        <v>9348</v>
      </c>
      <c r="G83" s="383"/>
      <c r="H83" s="474">
        <f t="shared" si="23"/>
        <v>5</v>
      </c>
      <c r="I83" s="552">
        <f t="shared" si="21"/>
        <v>1</v>
      </c>
      <c r="J83" s="10">
        <f t="shared" si="22"/>
        <v>2</v>
      </c>
      <c r="K83" s="383"/>
      <c r="L83" s="492">
        <v>4</v>
      </c>
      <c r="M83" s="493">
        <v>0</v>
      </c>
      <c r="N83" s="494" t="s">
        <v>413</v>
      </c>
      <c r="O83" s="495">
        <v>0.15</v>
      </c>
      <c r="P83" s="495">
        <v>0.15</v>
      </c>
      <c r="Q83" s="205">
        <f>(Table15880101[[#This Row],[Column1]]+Table15880101[[#This Row],[Column2]])*12*Table15880101[[#This Row],[عدد]]</f>
        <v>0</v>
      </c>
      <c r="R83" s="492"/>
      <c r="S83" s="492">
        <v>84</v>
      </c>
      <c r="T83" s="492">
        <f>Table15880101[[#This Row],[المسطح]]*Table15880101[[#This Row],[عدد]]</f>
        <v>0</v>
      </c>
      <c r="U83" s="496">
        <f>S83*$S$2/1000</f>
        <v>3864</v>
      </c>
      <c r="V83" s="497">
        <f>M83*U83</f>
        <v>0</v>
      </c>
      <c r="W83" s="222">
        <f>(V83)/$R$71</f>
        <v>0</v>
      </c>
      <c r="X83" s="190"/>
      <c r="Y83" s="203" t="s">
        <v>72</v>
      </c>
      <c r="Z83" s="203">
        <v>100</v>
      </c>
      <c r="AA83" s="203">
        <v>250</v>
      </c>
      <c r="AB83" s="203">
        <v>75</v>
      </c>
      <c r="AC83" s="203">
        <v>1200</v>
      </c>
      <c r="AD83" s="203">
        <v>1800</v>
      </c>
      <c r="AE83" s="203">
        <v>100</v>
      </c>
      <c r="AF83" s="190" t="s">
        <v>73</v>
      </c>
      <c r="AG83" s="190"/>
      <c r="AH83" s="190"/>
      <c r="AI83" s="190"/>
      <c r="AJ83" s="193" t="s">
        <v>74</v>
      </c>
      <c r="AK83" s="193">
        <v>0.4</v>
      </c>
      <c r="AL83" s="192" t="s">
        <v>75</v>
      </c>
      <c r="AM83" s="203">
        <f>IF((تسعير!BE25="A"),IF(((Table15880101[[#Totals],[المسطح]]+Table16627394[[#Totals],[Column12]])&gt;0),(Table15880101[[#Totals],[المسطح]]+Table16627394[[#Totals],[Column12]]-Q85+1)*Table6637495[[#This Row],[المعدل]]),0)</f>
        <v>4.3040000000000012</v>
      </c>
      <c r="AN83" s="190"/>
      <c r="AO83" s="190" t="s">
        <v>287</v>
      </c>
      <c r="AP83" s="190">
        <v>0.03</v>
      </c>
      <c r="AQ83" s="190">
        <v>0.03</v>
      </c>
      <c r="AR83" s="190"/>
      <c r="AS83" s="190"/>
      <c r="AT83" s="491"/>
      <c r="AU83" s="203"/>
      <c r="AV83" s="490" t="s">
        <v>412</v>
      </c>
      <c r="AW83" s="475">
        <v>1</v>
      </c>
      <c r="AX83" s="475">
        <f>(15.6*(AW80-1)+4)</f>
        <v>518.8</v>
      </c>
      <c r="AY83" s="475" t="s">
        <v>405</v>
      </c>
      <c r="AZ83" s="475">
        <v>600</v>
      </c>
      <c r="BA83" s="475">
        <f>AZ83*AW83</f>
        <v>600</v>
      </c>
      <c r="BB83" s="383"/>
      <c r="BC83" s="474">
        <f>IF(AND((AX82&gt;=200),(AX82&lt;350)),5,IF(AND((AX82&gt;=350),(AX82&lt;400)),7,IF(AND((AX82&gt;=400),(AX82&lt;501)),5,IF(AND((AX82&gt;=501),(AX82&lt;701)),7,0))))</f>
        <v>7</v>
      </c>
      <c r="BD83" s="543">
        <f>(BC83*100)/AX82</f>
        <v>1.1666666666666667</v>
      </c>
      <c r="BE83" s="10">
        <f>AW82/(ROUNDDOWN(BD83,0))</f>
        <v>2</v>
      </c>
      <c r="BF83" s="383"/>
      <c r="BG83" s="492">
        <v>4</v>
      </c>
      <c r="BH83" s="493">
        <v>0</v>
      </c>
      <c r="BI83" s="494" t="s">
        <v>413</v>
      </c>
      <c r="BJ83" s="495">
        <v>0.15</v>
      </c>
      <c r="BK83" s="495">
        <v>0.15</v>
      </c>
      <c r="BL83" s="205">
        <f>(Table15880101112[[#This Row],[Column1]]+Table15880101112[[#This Row],[Column2]])*12*Table15880101112[[#This Row],[عدد]]</f>
        <v>0</v>
      </c>
      <c r="BM83" s="492"/>
      <c r="BN83" s="492">
        <v>84</v>
      </c>
      <c r="BO83" s="492">
        <f>Table15880101112[[#This Row],[المسطح]]*Table15880101112[[#This Row],[عدد]]</f>
        <v>0</v>
      </c>
      <c r="BP83" s="496">
        <f>BN83*$S$2/1000</f>
        <v>3864</v>
      </c>
      <c r="BQ83" s="497">
        <f>BH83*BP83</f>
        <v>0</v>
      </c>
      <c r="BR83" s="222">
        <f>(BQ83)/$R$71</f>
        <v>0</v>
      </c>
      <c r="BS83" s="190"/>
      <c r="BT83" s="203" t="s">
        <v>72</v>
      </c>
      <c r="BU83" s="203">
        <v>100</v>
      </c>
      <c r="BV83" s="203">
        <v>250</v>
      </c>
      <c r="BW83" s="203">
        <v>75</v>
      </c>
      <c r="BX83" s="203">
        <v>1200</v>
      </c>
      <c r="BY83" s="203">
        <v>1800</v>
      </c>
      <c r="BZ83" s="203">
        <v>100</v>
      </c>
      <c r="CA83" s="190" t="s">
        <v>73</v>
      </c>
      <c r="CB83" s="190"/>
      <c r="CC83" s="190"/>
      <c r="CD83" s="190"/>
      <c r="CE83" s="193" t="s">
        <v>74</v>
      </c>
      <c r="CF83" s="193">
        <v>0.4</v>
      </c>
      <c r="CG83" s="192" t="s">
        <v>75</v>
      </c>
      <c r="CH83" s="203">
        <f>IF((تسعير!BE45="A"),IF(((Table15880101112[[#Totals],[المسطح]]+Table16627394105[[#Totals],[Column12]])&gt;0),(Table15880101112[[#Totals],[المسطح]]+Table16627394105[[#Totals],[Column12]]-BL85+1)*Table6637495106[[#This Row],[المعدل]]),0)</f>
        <v>4.3040000000000012</v>
      </c>
      <c r="CI83" s="190"/>
      <c r="CJ83" s="190" t="s">
        <v>287</v>
      </c>
      <c r="CK83" s="190">
        <v>0.03</v>
      </c>
      <c r="CL83" s="190">
        <v>0.03</v>
      </c>
      <c r="CM83" s="190"/>
      <c r="CN83" s="190"/>
      <c r="CO83" s="491"/>
    </row>
    <row r="84" ht="18.75">
      <c r="A84" s="490" t="s">
        <v>410</v>
      </c>
      <c r="B84" s="475">
        <v>2</v>
      </c>
      <c r="C84" s="476">
        <f>F79</f>
        <v>400</v>
      </c>
      <c r="D84" s="475" t="s">
        <v>405</v>
      </c>
      <c r="E84" s="475">
        <v>1.7</v>
      </c>
      <c r="F84" s="475">
        <f>IF((تسعير!$BE$26="سادة"),(J84*H84*E84*(Sheet2!$B$14+12000)/1000),(J84*H84*E84*(Sheet2!$B$14+Sheet2!$B$15)/1000))</f>
        <v>2788</v>
      </c>
      <c r="G84" s="383"/>
      <c r="H84" s="474">
        <f t="shared" si="23"/>
        <v>5</v>
      </c>
      <c r="I84" s="552">
        <f t="shared" si="21"/>
        <v>1.25</v>
      </c>
      <c r="J84" s="10">
        <f t="shared" si="22"/>
        <v>2</v>
      </c>
      <c r="K84" s="383"/>
      <c r="L84" s="492">
        <v>5</v>
      </c>
      <c r="M84" s="218">
        <f>IF(OR((N77="B11"),(N77="B12"),(N77="B21"),(N77="B22"),(N77="B31"),(N77="B32")),3,0)</f>
        <v>0</v>
      </c>
      <c r="N84" s="224" t="s">
        <v>421</v>
      </c>
      <c r="O84" s="204">
        <v>0.03</v>
      </c>
      <c r="P84" s="204">
        <v>0.03</v>
      </c>
      <c r="Q84" s="204">
        <f>(Table15880101[[#This Row],[Column1]]+Table15880101[[#This Row],[Column2]])*12*Table15880101[[#This Row],[عدد]]</f>
        <v>0</v>
      </c>
      <c r="R84" s="226" t="s">
        <v>77</v>
      </c>
      <c r="S84" s="205"/>
      <c r="T84" s="205">
        <f>Table15880101[[#This Row],[المسطح]]*Table15880101[[#This Row],[عدد]]</f>
        <v>0</v>
      </c>
      <c r="U84" s="220">
        <f>S84*$S$2/1000</f>
        <v>0</v>
      </c>
      <c r="V84" s="221">
        <f>M84*U84</f>
        <v>0</v>
      </c>
      <c r="W84" s="222">
        <f>(V84)/$R$71</f>
        <v>0</v>
      </c>
      <c r="X84" s="203"/>
      <c r="Y84" s="203" t="s">
        <v>78</v>
      </c>
      <c r="Z84" s="203">
        <v>100</v>
      </c>
      <c r="AA84" s="203">
        <v>100</v>
      </c>
      <c r="AB84" s="203">
        <v>75</v>
      </c>
      <c r="AC84" s="203">
        <v>1250</v>
      </c>
      <c r="AD84" s="203">
        <v>1800</v>
      </c>
      <c r="AE84" s="203">
        <v>100</v>
      </c>
      <c r="AF84" s="203"/>
      <c r="AG84" s="203"/>
      <c r="AH84" s="203"/>
      <c r="AI84" s="203"/>
      <c r="AJ84" s="203" t="s">
        <v>79</v>
      </c>
      <c r="AK84" s="203">
        <v>0.25</v>
      </c>
      <c r="AL84" s="203" t="s">
        <v>80</v>
      </c>
      <c r="AM84" s="203">
        <f>AM83*Table6637495[[#This Row],[المعدل]]+4</f>
        <v>5.0760000000000005</v>
      </c>
      <c r="AN84" s="203"/>
      <c r="AO84" s="203" t="s">
        <v>289</v>
      </c>
      <c r="AP84" s="203">
        <v>0.05</v>
      </c>
      <c r="AQ84" s="203">
        <v>0.05</v>
      </c>
      <c r="AR84" s="203"/>
      <c r="AS84" s="203"/>
      <c r="AT84" s="498"/>
      <c r="AU84" s="203"/>
      <c r="AV84" s="490" t="s">
        <v>416</v>
      </c>
      <c r="AW84" s="475"/>
      <c r="AX84" s="475">
        <f>AW80*2</f>
        <v>68</v>
      </c>
      <c r="AY84" s="475" t="s">
        <v>62</v>
      </c>
      <c r="AZ84" s="475">
        <v>17</v>
      </c>
      <c r="BA84" s="475">
        <f>AZ84*AX84</f>
        <v>1156</v>
      </c>
      <c r="BB84" s="383"/>
      <c r="BC84" s="385"/>
      <c r="BF84" s="383"/>
      <c r="BG84" s="492">
        <v>5</v>
      </c>
      <c r="BH84" s="218">
        <f>IF(OR((BI77="B11"),(BI77="B12"),(BI77="B21"),(BI77="B22"),(BI77="B31"),(BI77="B32")),3,0)</f>
        <v>0</v>
      </c>
      <c r="BI84" s="224" t="s">
        <v>421</v>
      </c>
      <c r="BJ84" s="204">
        <v>0.03</v>
      </c>
      <c r="BK84" s="204">
        <v>0.03</v>
      </c>
      <c r="BL84" s="204">
        <f>(Table15880101112[[#This Row],[Column1]]+Table15880101112[[#This Row],[Column2]])*12*Table15880101112[[#This Row],[عدد]]</f>
        <v>0</v>
      </c>
      <c r="BM84" s="226" t="s">
        <v>77</v>
      </c>
      <c r="BN84" s="205"/>
      <c r="BO84" s="205">
        <f>Table15880101112[[#This Row],[المسطح]]*Table15880101112[[#This Row],[عدد]]</f>
        <v>0</v>
      </c>
      <c r="BP84" s="220">
        <f>BN84*$S$2/1000</f>
        <v>0</v>
      </c>
      <c r="BQ84" s="221">
        <f>BH84*BP84</f>
        <v>0</v>
      </c>
      <c r="BR84" s="222">
        <f>(BQ84)/$R$71</f>
        <v>0</v>
      </c>
      <c r="BS84" s="203"/>
      <c r="BT84" s="203" t="s">
        <v>78</v>
      </c>
      <c r="BU84" s="203">
        <v>100</v>
      </c>
      <c r="BV84" s="203">
        <v>100</v>
      </c>
      <c r="BW84" s="203">
        <v>75</v>
      </c>
      <c r="BX84" s="203">
        <v>1250</v>
      </c>
      <c r="BY84" s="203">
        <v>1800</v>
      </c>
      <c r="BZ84" s="203">
        <v>100</v>
      </c>
      <c r="CA84" s="203"/>
      <c r="CB84" s="203"/>
      <c r="CC84" s="203"/>
      <c r="CD84" s="203"/>
      <c r="CE84" s="203" t="s">
        <v>79</v>
      </c>
      <c r="CF84" s="203">
        <v>0.25</v>
      </c>
      <c r="CG84" s="203" t="s">
        <v>80</v>
      </c>
      <c r="CH84" s="203">
        <f>CH83*Table6637495106[[#This Row],[المعدل]]+4</f>
        <v>5.0760000000000005</v>
      </c>
      <c r="CI84" s="203"/>
      <c r="CJ84" s="203" t="s">
        <v>289</v>
      </c>
      <c r="CK84" s="203">
        <v>0.05</v>
      </c>
      <c r="CL84" s="203">
        <v>0.05</v>
      </c>
      <c r="CM84" s="203"/>
      <c r="CN84" s="203"/>
      <c r="CO84" s="498"/>
    </row>
    <row r="85" ht="18.75">
      <c r="A85" s="490" t="s">
        <v>414</v>
      </c>
      <c r="B85" s="475">
        <v>2</v>
      </c>
      <c r="C85" s="476">
        <f>D79</f>
        <v>500</v>
      </c>
      <c r="D85" s="475" t="s">
        <v>405</v>
      </c>
      <c r="E85" s="475">
        <v>1.7</v>
      </c>
      <c r="F85" s="475">
        <f>IF((تسعير!$BE$26="سادة"),(J85*H85*E85*(Sheet2!$B$14+12000)/1000),(J85*H85*E85*(Sheet2!$B$14+Sheet2!$B$15)/1000))</f>
        <v>2788</v>
      </c>
      <c r="G85" s="383"/>
      <c r="H85" s="474">
        <f t="shared" si="23"/>
        <v>5</v>
      </c>
      <c r="I85" s="552">
        <f t="shared" si="21"/>
        <v>1</v>
      </c>
      <c r="J85" s="10">
        <f t="shared" si="22"/>
        <v>2</v>
      </c>
      <c r="K85" s="383"/>
      <c r="L85" s="205"/>
      <c r="M85" s="218"/>
      <c r="N85" s="219" t="s">
        <v>88</v>
      </c>
      <c r="O85" s="204"/>
      <c r="P85" s="204"/>
      <c r="Q85" s="203">
        <f>SUBTOTAL(109,Table15880101[المسطح])</f>
        <v>19.68</v>
      </c>
      <c r="R85" s="205"/>
      <c r="S85" s="205">
        <f>(S80*M80)+(S81*M81)+(M82*S82)+(S83*M83)</f>
        <v>336</v>
      </c>
      <c r="T85" s="205">
        <f>SUBTOTAL(109,Table15880101[اجمالي المسطح])</f>
        <v>64.320000000000007</v>
      </c>
      <c r="U85" s="226"/>
      <c r="V85" s="221">
        <f>SUBTOTAL(109,Table15880101[اجمالي])</f>
        <v>15456</v>
      </c>
      <c r="W85" s="243">
        <f>Table15880101[[#Totals],[اجمالي]]/$R$71</f>
        <v>0.098377334106637557</v>
      </c>
      <c r="X85" s="203"/>
      <c r="Y85" s="203" t="s">
        <v>82</v>
      </c>
      <c r="Z85" s="203">
        <v>75</v>
      </c>
      <c r="AA85" s="203">
        <v>100</v>
      </c>
      <c r="AB85" s="203">
        <v>75</v>
      </c>
      <c r="AC85" s="203">
        <v>1500</v>
      </c>
      <c r="AD85" s="203">
        <v>3000</v>
      </c>
      <c r="AE85" s="203">
        <v>250</v>
      </c>
      <c r="AF85" s="203"/>
      <c r="AG85" s="203"/>
      <c r="AH85" s="203"/>
      <c r="AI85" s="203"/>
      <c r="AJ85" s="203" t="s">
        <v>83</v>
      </c>
      <c r="AK85" s="203">
        <v>0.25</v>
      </c>
      <c r="AL85" s="205" t="s">
        <v>84</v>
      </c>
      <c r="AM85" s="203">
        <f>IF((تسعير!BE25="A"),IF(((Table15880101[[#Totals],[المسطح]]+Table16627394[[#Totals],[Column12]])&gt;0),(Table15880101[[#Totals],[المسطح]]+Table16627394[[#Totals],[Column12]]+1)*Table6637495[[#This Row],[المعدل]]),0)</f>
        <v>7.61</v>
      </c>
      <c r="AN85" s="203"/>
      <c r="AO85" s="203" t="s">
        <v>292</v>
      </c>
      <c r="AP85" s="203">
        <v>0.07</v>
      </c>
      <c r="AQ85" s="203">
        <v>0.07</v>
      </c>
      <c r="AR85" s="203"/>
      <c r="AS85" s="203"/>
      <c r="AT85" s="498"/>
      <c r="AU85" s="203"/>
      <c r="AV85" s="490" t="s">
        <v>419</v>
      </c>
      <c r="AW85" s="475"/>
      <c r="AX85" s="475">
        <f>AW80*2</f>
        <v>68</v>
      </c>
      <c r="AY85" s="475" t="s">
        <v>62</v>
      </c>
      <c r="AZ85" s="475">
        <v>12</v>
      </c>
      <c r="BA85" s="475">
        <f>AZ85*AX85</f>
        <v>816</v>
      </c>
      <c r="BB85" s="383"/>
      <c r="BC85" s="385"/>
      <c r="BF85" s="383"/>
      <c r="BG85" s="205"/>
      <c r="BH85" s="218"/>
      <c r="BI85" s="219" t="s">
        <v>88</v>
      </c>
      <c r="BJ85" s="204"/>
      <c r="BK85" s="204"/>
      <c r="BL85" s="203">
        <f>SUBTOTAL(109,Table15880101112[المسطح])</f>
        <v>16.560000000000002</v>
      </c>
      <c r="BM85" s="205"/>
      <c r="BN85" s="205">
        <f>(BN80*BH80)+(BN81*BH81)+(BN82*BH82)+(BN83*BH83)</f>
        <v>294</v>
      </c>
      <c r="BO85" s="205">
        <f>SUBTOTAL(109,Table15880101112[اجمالي المسطح])</f>
        <v>42.480000000000004</v>
      </c>
      <c r="BP85" s="226"/>
      <c r="BQ85" s="221">
        <f>SUBTOTAL(109,Table15880101112[اجمالي])</f>
        <v>13524</v>
      </c>
      <c r="BR85" s="243">
        <f>Table15880101112[[#Totals],[اجمالي]]/$R$71</f>
        <v>0.086080167343307867</v>
      </c>
      <c r="BS85" s="203"/>
      <c r="BT85" s="203" t="s">
        <v>82</v>
      </c>
      <c r="BU85" s="203">
        <v>75</v>
      </c>
      <c r="BV85" s="203">
        <v>100</v>
      </c>
      <c r="BW85" s="203">
        <v>75</v>
      </c>
      <c r="BX85" s="203">
        <v>1500</v>
      </c>
      <c r="BY85" s="203">
        <v>3000</v>
      </c>
      <c r="BZ85" s="203">
        <v>250</v>
      </c>
      <c r="CA85" s="203"/>
      <c r="CB85" s="203"/>
      <c r="CC85" s="203"/>
      <c r="CD85" s="203"/>
      <c r="CE85" s="203" t="s">
        <v>83</v>
      </c>
      <c r="CF85" s="203">
        <v>0.25</v>
      </c>
      <c r="CG85" s="205" t="s">
        <v>84</v>
      </c>
      <c r="CH85" s="203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6.830000000000001</v>
      </c>
      <c r="CI85" s="203"/>
      <c r="CJ85" s="203" t="s">
        <v>292</v>
      </c>
      <c r="CK85" s="203">
        <v>0.07</v>
      </c>
      <c r="CL85" s="203">
        <v>0.07</v>
      </c>
      <c r="CM85" s="203"/>
      <c r="CN85" s="203"/>
      <c r="CO85" s="498"/>
    </row>
    <row r="86" ht="18.75">
      <c r="A86" s="490" t="s">
        <v>417</v>
      </c>
      <c r="B86" s="475">
        <v>2</v>
      </c>
      <c r="C86" s="475">
        <f>C81</f>
        <v>383.5</v>
      </c>
      <c r="D86" s="475" t="s">
        <v>405</v>
      </c>
      <c r="E86" s="475">
        <v>0.8</v>
      </c>
      <c r="F86" s="475">
        <f>IF((تسعير!$BE$26="سادة"),(J86*H86*E86*(Sheet2!$B$14+12000)/1000),(J86*H86*E86*(Sheet2!$B$14+Sheet2!$B$15)/1000))</f>
        <v>1049.6</v>
      </c>
      <c r="G86" s="383"/>
      <c r="H86" s="474">
        <f>IF(AND((C86&gt;=150),(C86&lt;201)),4,IF(AND((C86&gt;=201),(C86&lt;251)),5,IF(AND((C86&gt;=251),(C86&lt;401)),4,IF(AND((C86&gt;=401),(C86&lt;501)),5,0))))</f>
        <v>4</v>
      </c>
      <c r="I86" s="552">
        <f t="shared" si="21"/>
        <v>1.0430247718383312</v>
      </c>
      <c r="J86" s="10">
        <f t="shared" si="22"/>
        <v>2</v>
      </c>
      <c r="K86" s="383"/>
      <c r="L86" s="203"/>
      <c r="M86" s="203"/>
      <c r="N86" s="231"/>
      <c r="O86" s="629" t="s">
        <v>107</v>
      </c>
      <c r="P86" s="629"/>
      <c r="Q86" s="629"/>
      <c r="R86" s="629"/>
      <c r="S86" s="629"/>
      <c r="T86" s="629"/>
      <c r="U86" s="203"/>
      <c r="V86" s="203"/>
      <c r="W86" s="203"/>
      <c r="X86" s="203"/>
      <c r="Y86" s="203" t="s">
        <v>86</v>
      </c>
      <c r="Z86" s="203">
        <v>30</v>
      </c>
      <c r="AA86" s="203">
        <v>30</v>
      </c>
      <c r="AB86" s="203">
        <v>75</v>
      </c>
      <c r="AC86" s="203">
        <v>600</v>
      </c>
      <c r="AD86" s="203">
        <v>1100</v>
      </c>
      <c r="AE86" s="203">
        <v>150</v>
      </c>
      <c r="AF86" s="203"/>
      <c r="AG86" s="203"/>
      <c r="AH86" s="203"/>
      <c r="AI86" s="203"/>
      <c r="AJ86" s="203" t="s">
        <v>87</v>
      </c>
      <c r="AK86" s="203">
        <v>0.4</v>
      </c>
      <c r="AL86" s="205" t="s">
        <v>84</v>
      </c>
      <c r="AM86" s="203">
        <f>IF((تسعير!BE25="A"),IF(((Table15880101[[#Totals],[المسطح]]+Table16627394[[#Totals],[Column12]])&gt;0),(Table15880101[[#Totals],[المسطح]]+Table16627394[[#Totals],[Column12]]-Q85+1)*Table6637495[[#This Row],[المعدل]]),0)</f>
        <v>4.3040000000000012</v>
      </c>
      <c r="AN86" s="203"/>
      <c r="AO86" s="203" t="s">
        <v>294</v>
      </c>
      <c r="AP86" s="203">
        <v>0.1</v>
      </c>
      <c r="AQ86" s="203">
        <v>0.1</v>
      </c>
      <c r="AR86" s="203"/>
      <c r="AS86" s="203"/>
      <c r="AT86" s="498"/>
      <c r="AU86" s="203"/>
      <c r="AV86" s="490" t="s">
        <v>420</v>
      </c>
      <c r="AW86" s="475">
        <v>1</v>
      </c>
      <c r="AX86" s="476">
        <v>100</v>
      </c>
      <c r="AY86" s="475" t="s">
        <v>405</v>
      </c>
      <c r="AZ86" s="475">
        <v>150</v>
      </c>
      <c r="BA86" s="475">
        <f>Table80102113[[#This Row],[wt/m]]*Table80102113[[#This Row],[عدد]]</f>
        <v>150</v>
      </c>
      <c r="BB86" s="383"/>
      <c r="BC86" s="385"/>
      <c r="BF86" s="383"/>
      <c r="BG86" s="203"/>
      <c r="BH86" s="203"/>
      <c r="BI86" s="231"/>
      <c r="BJ86" s="629" t="s">
        <v>107</v>
      </c>
      <c r="BK86" s="629"/>
      <c r="BL86" s="629"/>
      <c r="BM86" s="629"/>
      <c r="BN86" s="629"/>
      <c r="BO86" s="629"/>
      <c r="BP86" s="203"/>
      <c r="BQ86" s="203"/>
      <c r="BR86" s="203"/>
      <c r="BS86" s="203"/>
      <c r="BT86" s="203" t="s">
        <v>86</v>
      </c>
      <c r="BU86" s="203">
        <v>30</v>
      </c>
      <c r="BV86" s="203">
        <v>30</v>
      </c>
      <c r="BW86" s="203">
        <v>75</v>
      </c>
      <c r="BX86" s="203">
        <v>600</v>
      </c>
      <c r="BY86" s="203">
        <v>1100</v>
      </c>
      <c r="BZ86" s="203">
        <v>150</v>
      </c>
      <c r="CA86" s="203"/>
      <c r="CB86" s="203"/>
      <c r="CC86" s="203"/>
      <c r="CD86" s="203"/>
      <c r="CE86" s="203" t="s">
        <v>87</v>
      </c>
      <c r="CF86" s="203">
        <v>0.4</v>
      </c>
      <c r="CG86" s="205" t="s">
        <v>84</v>
      </c>
      <c r="CH86" s="203">
        <f>IF((تسعير!BE45="A"),IF(((Table15880101112[[#Totals],[المسطح]]+Table16627394105[[#Totals],[Column12]])&gt;0),(Table15880101112[[#Totals],[المسطح]]+Table16627394105[[#Totals],[Column12]]-BL85+1)*Table6637495106[[#This Row],[المعدل]]),0)</f>
        <v>4.3040000000000012</v>
      </c>
      <c r="CI86" s="203"/>
      <c r="CJ86" s="203" t="s">
        <v>294</v>
      </c>
      <c r="CK86" s="203">
        <v>0.1</v>
      </c>
      <c r="CL86" s="203">
        <v>0.1</v>
      </c>
      <c r="CM86" s="203"/>
      <c r="CN86" s="203"/>
      <c r="CO86" s="498"/>
    </row>
    <row r="87" ht="18.75">
      <c r="A87" s="490" t="s">
        <v>412</v>
      </c>
      <c r="B87" s="475">
        <v>2</v>
      </c>
      <c r="C87" s="475">
        <f>(15.6*(B81-1)+4)</f>
        <v>487.59999999999997</v>
      </c>
      <c r="D87" s="475" t="s">
        <v>405</v>
      </c>
      <c r="E87" s="475">
        <v>600</v>
      </c>
      <c r="F87" s="475">
        <f>E87*B87</f>
        <v>1200</v>
      </c>
      <c r="G87" s="383"/>
      <c r="H87" s="385"/>
      <c r="K87" s="383"/>
      <c r="L87" s="205" t="s">
        <v>61</v>
      </c>
      <c r="M87" s="205" t="s">
        <v>62</v>
      </c>
      <c r="N87" s="233" t="s">
        <v>63</v>
      </c>
      <c r="O87" s="205" t="s">
        <v>64</v>
      </c>
      <c r="P87" s="205" t="s">
        <v>43</v>
      </c>
      <c r="Q87" s="205" t="s">
        <v>95</v>
      </c>
      <c r="R87" s="205" t="s">
        <v>66</v>
      </c>
      <c r="S87" s="205" t="s">
        <v>67</v>
      </c>
      <c r="T87" s="205" t="s">
        <v>110</v>
      </c>
      <c r="U87" s="205" t="s">
        <v>69</v>
      </c>
      <c r="V87" s="234" t="s">
        <v>70</v>
      </c>
      <c r="W87" s="205" t="s">
        <v>71</v>
      </c>
      <c r="X87" s="203"/>
      <c r="Y87" s="203" t="s">
        <v>89</v>
      </c>
      <c r="Z87" s="203">
        <v>50</v>
      </c>
      <c r="AA87" s="203">
        <v>50</v>
      </c>
      <c r="AB87" s="203">
        <v>75</v>
      </c>
      <c r="AC87" s="203">
        <v>900</v>
      </c>
      <c r="AD87" s="203">
        <v>1600</v>
      </c>
      <c r="AE87" s="203">
        <v>150</v>
      </c>
      <c r="AF87" s="203"/>
      <c r="AG87" s="203"/>
      <c r="AH87" s="203"/>
      <c r="AI87" s="203"/>
      <c r="AJ87" s="203" t="s">
        <v>90</v>
      </c>
      <c r="AK87" s="203"/>
      <c r="AL87" s="203" t="s">
        <v>91</v>
      </c>
      <c r="AM87" s="203"/>
      <c r="AN87" s="203"/>
      <c r="AO87" s="203" t="s">
        <v>296</v>
      </c>
      <c r="AP87" s="203">
        <v>0.15</v>
      </c>
      <c r="AQ87" s="203">
        <v>0.15</v>
      </c>
      <c r="AR87" s="203"/>
      <c r="AS87" s="203"/>
      <c r="AT87" s="498"/>
      <c r="AU87" s="203"/>
      <c r="AV87" s="490" t="s">
        <v>425</v>
      </c>
      <c r="AW87" s="475"/>
      <c r="AX87" s="475">
        <v>100</v>
      </c>
      <c r="AY87" s="475" t="s">
        <v>426</v>
      </c>
      <c r="AZ87" s="475">
        <v>0.375</v>
      </c>
      <c r="BA87" s="475">
        <f>AX87*AZ87</f>
        <v>37.5</v>
      </c>
      <c r="BB87" s="383"/>
      <c r="BC87" s="385"/>
      <c r="BF87" s="383"/>
      <c r="BG87" s="205" t="s">
        <v>61</v>
      </c>
      <c r="BH87" s="205" t="s">
        <v>62</v>
      </c>
      <c r="BI87" s="233" t="s">
        <v>63</v>
      </c>
      <c r="BJ87" s="205" t="s">
        <v>64</v>
      </c>
      <c r="BK87" s="205" t="s">
        <v>43</v>
      </c>
      <c r="BL87" s="205" t="s">
        <v>95</v>
      </c>
      <c r="BM87" s="205" t="s">
        <v>66</v>
      </c>
      <c r="BN87" s="205" t="s">
        <v>67</v>
      </c>
      <c r="BO87" s="205" t="s">
        <v>110</v>
      </c>
      <c r="BP87" s="205" t="s">
        <v>69</v>
      </c>
      <c r="BQ87" s="234" t="s">
        <v>70</v>
      </c>
      <c r="BR87" s="205" t="s">
        <v>71</v>
      </c>
      <c r="BS87" s="203"/>
      <c r="BT87" s="203" t="s">
        <v>89</v>
      </c>
      <c r="BU87" s="203">
        <v>50</v>
      </c>
      <c r="BV87" s="203">
        <v>50</v>
      </c>
      <c r="BW87" s="203">
        <v>75</v>
      </c>
      <c r="BX87" s="203">
        <v>900</v>
      </c>
      <c r="BY87" s="203">
        <v>1600</v>
      </c>
      <c r="BZ87" s="203">
        <v>150</v>
      </c>
      <c r="CA87" s="203"/>
      <c r="CB87" s="203"/>
      <c r="CC87" s="203"/>
      <c r="CD87" s="203"/>
      <c r="CE87" s="203" t="s">
        <v>90</v>
      </c>
      <c r="CF87" s="203"/>
      <c r="CG87" s="203" t="s">
        <v>91</v>
      </c>
      <c r="CH87" s="203"/>
      <c r="CI87" s="203"/>
      <c r="CJ87" s="203" t="s">
        <v>296</v>
      </c>
      <c r="CK87" s="203">
        <v>0.15</v>
      </c>
      <c r="CL87" s="203">
        <v>0.15</v>
      </c>
      <c r="CM87" s="203"/>
      <c r="CN87" s="203"/>
      <c r="CO87" s="498"/>
    </row>
    <row r="88" ht="18.75">
      <c r="A88" s="490" t="s">
        <v>416</v>
      </c>
      <c r="B88" s="475"/>
      <c r="C88" s="475">
        <f>B81*2</f>
        <v>64</v>
      </c>
      <c r="D88" s="475" t="s">
        <v>62</v>
      </c>
      <c r="E88" s="475">
        <v>17</v>
      </c>
      <c r="F88" s="475">
        <f>E88*C88</f>
        <v>1088</v>
      </c>
      <c r="G88" s="383"/>
      <c r="H88" s="385"/>
      <c r="K88" s="383"/>
      <c r="L88" s="205">
        <v>1</v>
      </c>
      <c r="M88" s="218">
        <v>2</v>
      </c>
      <c r="N88" s="219" t="s">
        <v>113</v>
      </c>
      <c r="O88" s="204"/>
      <c r="P88" s="204"/>
      <c r="Q88" s="204"/>
      <c r="R88" s="205" t="s">
        <v>114</v>
      </c>
      <c r="S88" s="205"/>
      <c r="T88" s="226"/>
      <c r="U88" s="408">
        <f>Sheet2!B28</f>
        <v>300</v>
      </c>
      <c r="V88" s="221">
        <f ref="V88:V92" t="shared" si="24">M88*U88</f>
        <v>600</v>
      </c>
      <c r="W88" s="222">
        <f>(V88)/$R$71</f>
        <v>0.0038189958892328245</v>
      </c>
      <c r="X88" s="203"/>
      <c r="Y88" s="203" t="s">
        <v>93</v>
      </c>
      <c r="Z88" s="203">
        <v>50</v>
      </c>
      <c r="AA88" s="203">
        <v>50</v>
      </c>
      <c r="AB88" s="203">
        <v>75</v>
      </c>
      <c r="AC88" s="203">
        <v>900</v>
      </c>
      <c r="AD88" s="203">
        <v>1600</v>
      </c>
      <c r="AE88" s="203">
        <v>150</v>
      </c>
      <c r="AF88" s="203"/>
      <c r="AG88" s="203"/>
      <c r="AH88" s="203"/>
      <c r="AI88" s="203"/>
      <c r="AJ88" s="219" t="s">
        <v>94</v>
      </c>
      <c r="AK88" s="203">
        <v>0.6</v>
      </c>
      <c r="AL88" s="203"/>
      <c r="AM88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8" s="203"/>
      <c r="AO88" s="203" t="s">
        <v>298</v>
      </c>
      <c r="AP88" s="203">
        <v>0.05</v>
      </c>
      <c r="AQ88" s="203">
        <v>0.1</v>
      </c>
      <c r="AR88" s="203"/>
      <c r="AS88" s="203"/>
      <c r="AT88" s="498"/>
      <c r="AU88" s="203"/>
      <c r="AV88" s="490" t="s">
        <v>423</v>
      </c>
      <c r="AW88" s="475"/>
      <c r="AX88" s="475">
        <f>AW80*2</f>
        <v>68</v>
      </c>
      <c r="AY88" s="475" t="s">
        <v>62</v>
      </c>
      <c r="AZ88" s="475">
        <v>100</v>
      </c>
      <c r="BA88" s="475">
        <f>AX88*AZ88</f>
        <v>6800</v>
      </c>
      <c r="BB88" s="383"/>
      <c r="BC88" s="385"/>
      <c r="BF88" s="383"/>
      <c r="BG88" s="205">
        <v>1</v>
      </c>
      <c r="BH88" s="218">
        <v>3</v>
      </c>
      <c r="BI88" s="219" t="s">
        <v>113</v>
      </c>
      <c r="BJ88" s="204"/>
      <c r="BK88" s="204"/>
      <c r="BL88" s="204"/>
      <c r="BM88" s="205" t="s">
        <v>114</v>
      </c>
      <c r="BN88" s="205"/>
      <c r="BO88" s="226"/>
      <c r="BP88" s="230">
        <f>Sheet2!AW28</f>
        <v>0</v>
      </c>
      <c r="BQ88" s="221">
        <f ref="BQ88:BQ92" t="shared" si="25">BH88*BP88</f>
        <v>0</v>
      </c>
      <c r="BR88" s="222">
        <f>(BQ88)/$R$71</f>
        <v>0</v>
      </c>
      <c r="BS88" s="203"/>
      <c r="BT88" s="203" t="s">
        <v>93</v>
      </c>
      <c r="BU88" s="203">
        <v>50</v>
      </c>
      <c r="BV88" s="203">
        <v>50</v>
      </c>
      <c r="BW88" s="203">
        <v>75</v>
      </c>
      <c r="BX88" s="203">
        <v>900</v>
      </c>
      <c r="BY88" s="203">
        <v>1600</v>
      </c>
      <c r="BZ88" s="203">
        <v>150</v>
      </c>
      <c r="CA88" s="203"/>
      <c r="CB88" s="203"/>
      <c r="CC88" s="203"/>
      <c r="CD88" s="203"/>
      <c r="CE88" s="219" t="s">
        <v>94</v>
      </c>
      <c r="CF88" s="203">
        <v>0.6</v>
      </c>
      <c r="CG88" s="203"/>
      <c r="CH88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8" s="203"/>
      <c r="CJ88" s="203" t="s">
        <v>298</v>
      </c>
      <c r="CK88" s="203">
        <v>0.05</v>
      </c>
      <c r="CL88" s="203">
        <v>0.1</v>
      </c>
      <c r="CM88" s="203"/>
      <c r="CN88" s="203"/>
      <c r="CO88" s="498"/>
    </row>
    <row r="89" ht="18.75">
      <c r="A89" s="490" t="s">
        <v>419</v>
      </c>
      <c r="B89" s="475"/>
      <c r="C89" s="475">
        <f>B81*2</f>
        <v>64</v>
      </c>
      <c r="D89" s="475" t="s">
        <v>62</v>
      </c>
      <c r="E89" s="475">
        <v>12</v>
      </c>
      <c r="F89" s="475">
        <f>E89*C89</f>
        <v>768</v>
      </c>
      <c r="G89" s="383"/>
      <c r="H89" s="385"/>
      <c r="K89" s="383"/>
      <c r="L89" s="205">
        <v>2</v>
      </c>
      <c r="M89" s="218">
        <v>2</v>
      </c>
      <c r="N89" s="219" t="s">
        <v>119</v>
      </c>
      <c r="O89" s="204"/>
      <c r="P89" s="204"/>
      <c r="Q89" s="204"/>
      <c r="R89" s="205" t="s">
        <v>62</v>
      </c>
      <c r="S89" s="205"/>
      <c r="T89" s="226"/>
      <c r="U89" s="408">
        <v>85</v>
      </c>
      <c r="V89" s="221">
        <f t="shared" si="24"/>
        <v>170</v>
      </c>
      <c r="W89" s="222">
        <f>(V89)/$R$71</f>
        <v>0.0010820488352826336</v>
      </c>
      <c r="X89" s="203"/>
      <c r="Y89" s="203" t="s">
        <v>96</v>
      </c>
      <c r="Z89" s="203">
        <v>75</v>
      </c>
      <c r="AA89" s="203">
        <v>50</v>
      </c>
      <c r="AB89" s="203">
        <v>75</v>
      </c>
      <c r="AC89" s="203">
        <v>900</v>
      </c>
      <c r="AD89" s="203">
        <v>1600</v>
      </c>
      <c r="AE89" s="203">
        <v>150</v>
      </c>
      <c r="AF89" s="203"/>
      <c r="AG89" s="203"/>
      <c r="AH89" s="203"/>
      <c r="AI89" s="203"/>
      <c r="AJ89" s="233" t="s">
        <v>97</v>
      </c>
      <c r="AK89" s="203"/>
      <c r="AL89" s="203"/>
      <c r="AM89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9" s="203"/>
      <c r="AO89" s="203" t="s">
        <v>300</v>
      </c>
      <c r="AP89" s="203">
        <v>0.05</v>
      </c>
      <c r="AQ89" s="203">
        <v>0.15</v>
      </c>
      <c r="AR89" s="203"/>
      <c r="AS89" s="203"/>
      <c r="AT89" s="498"/>
      <c r="AU89" s="203"/>
      <c r="AV89" s="490" t="s">
        <v>424</v>
      </c>
      <c r="AW89" s="475"/>
      <c r="AX89" s="475">
        <f>AW80*2</f>
        <v>68</v>
      </c>
      <c r="AY89" s="475" t="s">
        <v>62</v>
      </c>
      <c r="AZ89" s="475">
        <v>100</v>
      </c>
      <c r="BA89" s="475">
        <f>AX89*AZ89</f>
        <v>6800</v>
      </c>
      <c r="BB89" s="383"/>
      <c r="BC89" s="385"/>
      <c r="BF89" s="383"/>
      <c r="BG89" s="205">
        <v>2</v>
      </c>
      <c r="BH89" s="218">
        <v>2</v>
      </c>
      <c r="BI89" s="219" t="s">
        <v>119</v>
      </c>
      <c r="BJ89" s="204"/>
      <c r="BK89" s="204"/>
      <c r="BL89" s="204"/>
      <c r="BM89" s="205" t="s">
        <v>62</v>
      </c>
      <c r="BN89" s="205"/>
      <c r="BO89" s="226"/>
      <c r="BP89" s="230">
        <v>85</v>
      </c>
      <c r="BQ89" s="221">
        <f t="shared" si="25"/>
        <v>170</v>
      </c>
      <c r="BR89" s="222">
        <f>(BQ89)/$R$71</f>
        <v>0.0010820488352826336</v>
      </c>
      <c r="BS89" s="203"/>
      <c r="BT89" s="203" t="s">
        <v>96</v>
      </c>
      <c r="BU89" s="203">
        <v>75</v>
      </c>
      <c r="BV89" s="203">
        <v>50</v>
      </c>
      <c r="BW89" s="203">
        <v>75</v>
      </c>
      <c r="BX89" s="203">
        <v>900</v>
      </c>
      <c r="BY89" s="203">
        <v>1600</v>
      </c>
      <c r="BZ89" s="203">
        <v>150</v>
      </c>
      <c r="CA89" s="203"/>
      <c r="CB89" s="203"/>
      <c r="CC89" s="203"/>
      <c r="CD89" s="203"/>
      <c r="CE89" s="233" t="s">
        <v>97</v>
      </c>
      <c r="CF89" s="203"/>
      <c r="CG89" s="203"/>
      <c r="CH89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9" s="203"/>
      <c r="CJ89" s="203" t="s">
        <v>300</v>
      </c>
      <c r="CK89" s="203">
        <v>0.05</v>
      </c>
      <c r="CL89" s="203">
        <v>0.15</v>
      </c>
      <c r="CM89" s="203"/>
      <c r="CN89" s="203"/>
      <c r="CO89" s="498"/>
    </row>
    <row r="90" ht="18.75">
      <c r="A90" s="490" t="s">
        <v>420</v>
      </c>
      <c r="B90" s="475">
        <v>1</v>
      </c>
      <c r="C90" s="476">
        <v>100</v>
      </c>
      <c r="D90" s="475" t="s">
        <v>405</v>
      </c>
      <c r="E90" s="475">
        <v>150</v>
      </c>
      <c r="F90" s="475">
        <f>Table80102[[#This Row],[wt/m]]*Table80102[[#This Row],[عدد]]</f>
        <v>150</v>
      </c>
      <c r="G90" s="383"/>
      <c r="H90" s="385"/>
      <c r="J90" s="526"/>
      <c r="K90" s="383"/>
      <c r="L90" s="205">
        <v>3</v>
      </c>
      <c r="M90" s="201">
        <v>1</v>
      </c>
      <c r="N90" s="219" t="s">
        <v>121</v>
      </c>
      <c r="O90" s="204"/>
      <c r="P90" s="204"/>
      <c r="Q90" s="204"/>
      <c r="R90" s="205" t="s">
        <v>62</v>
      </c>
      <c r="S90" s="205"/>
      <c r="T90" s="226"/>
      <c r="U90" s="408">
        <v>75</v>
      </c>
      <c r="V90" s="221">
        <f t="shared" si="24"/>
        <v>75</v>
      </c>
      <c r="W90" s="222">
        <f>(V90)/$R$71</f>
        <v>0.00047737448615410306</v>
      </c>
      <c r="X90" s="203"/>
      <c r="Y90" s="203" t="s">
        <v>100</v>
      </c>
      <c r="Z90" s="203">
        <v>75</v>
      </c>
      <c r="AA90" s="203">
        <v>50</v>
      </c>
      <c r="AB90" s="203">
        <v>75</v>
      </c>
      <c r="AC90" s="203">
        <v>900</v>
      </c>
      <c r="AD90" s="203">
        <v>1600</v>
      </c>
      <c r="AE90" s="203">
        <v>150</v>
      </c>
      <c r="AF90" s="203"/>
      <c r="AG90" s="203"/>
      <c r="AH90" s="203"/>
      <c r="AI90" s="203"/>
      <c r="AJ90" s="233" t="s">
        <v>101</v>
      </c>
      <c r="AK90" s="203">
        <v>0.6</v>
      </c>
      <c r="AL90" s="203"/>
      <c r="AM90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0" s="203"/>
      <c r="AO90" s="203" t="s">
        <v>302</v>
      </c>
      <c r="AP90" s="203">
        <v>0.1</v>
      </c>
      <c r="AQ90" s="203">
        <v>0.15</v>
      </c>
      <c r="AR90" s="203"/>
      <c r="AS90" s="203"/>
      <c r="AT90" s="498"/>
      <c r="AU90" s="203"/>
      <c r="AV90" s="490" t="s">
        <v>240</v>
      </c>
      <c r="AW90" s="475" t="s">
        <v>62</v>
      </c>
      <c r="AX90" s="475">
        <v>1</v>
      </c>
      <c r="AY90" s="475" t="s">
        <v>62</v>
      </c>
      <c r="AZ90" s="475">
        <v>5000</v>
      </c>
      <c r="BA90" s="475">
        <f>AZ90*AX90</f>
        <v>5000</v>
      </c>
      <c r="BB90" s="383"/>
      <c r="BC90" s="385"/>
      <c r="BE90" s="526"/>
      <c r="BF90" s="383"/>
      <c r="BG90" s="205">
        <v>3</v>
      </c>
      <c r="BH90" s="201">
        <v>1</v>
      </c>
      <c r="BI90" s="219" t="s">
        <v>121</v>
      </c>
      <c r="BJ90" s="204"/>
      <c r="BK90" s="204"/>
      <c r="BL90" s="204"/>
      <c r="BM90" s="205" t="s">
        <v>62</v>
      </c>
      <c r="BN90" s="205"/>
      <c r="BO90" s="226"/>
      <c r="BP90" s="230">
        <v>75</v>
      </c>
      <c r="BQ90" s="221">
        <f t="shared" si="25"/>
        <v>75</v>
      </c>
      <c r="BR90" s="222">
        <f>(BQ90)/$R$71</f>
        <v>0.00047737448615410306</v>
      </c>
      <c r="BS90" s="203"/>
      <c r="BT90" s="203" t="s">
        <v>100</v>
      </c>
      <c r="BU90" s="203">
        <v>75</v>
      </c>
      <c r="BV90" s="203">
        <v>50</v>
      </c>
      <c r="BW90" s="203">
        <v>75</v>
      </c>
      <c r="BX90" s="203">
        <v>900</v>
      </c>
      <c r="BY90" s="203">
        <v>1600</v>
      </c>
      <c r="BZ90" s="203">
        <v>150</v>
      </c>
      <c r="CA90" s="203"/>
      <c r="CB90" s="203"/>
      <c r="CC90" s="203"/>
      <c r="CD90" s="203"/>
      <c r="CE90" s="233" t="s">
        <v>101</v>
      </c>
      <c r="CF90" s="203">
        <v>0.6</v>
      </c>
      <c r="CG90" s="203"/>
      <c r="CH90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0" s="203"/>
      <c r="CJ90" s="203" t="s">
        <v>302</v>
      </c>
      <c r="CK90" s="203">
        <v>0.1</v>
      </c>
      <c r="CL90" s="203">
        <v>0.15</v>
      </c>
      <c r="CM90" s="203"/>
      <c r="CN90" s="203"/>
      <c r="CO90" s="498"/>
    </row>
    <row r="91" ht="18.75">
      <c r="A91" s="490" t="s">
        <v>425</v>
      </c>
      <c r="B91" s="475"/>
      <c r="C91" s="475">
        <v>4</v>
      </c>
      <c r="D91" s="475" t="s">
        <v>426</v>
      </c>
      <c r="E91" s="475">
        <v>150</v>
      </c>
      <c r="F91" s="475">
        <f>C91*E91</f>
        <v>600</v>
      </c>
      <c r="G91" s="383"/>
      <c r="I91" s="383"/>
      <c r="J91" s="383"/>
      <c r="K91" s="383"/>
      <c r="L91" s="205">
        <v>4</v>
      </c>
      <c r="M91" s="218">
        <f>M98</f>
        <v>16</v>
      </c>
      <c r="N91" s="219" t="s">
        <v>123</v>
      </c>
      <c r="O91" s="204"/>
      <c r="P91" s="204"/>
      <c r="Q91" s="204"/>
      <c r="R91" s="230" t="s">
        <v>124</v>
      </c>
      <c r="S91" s="230"/>
      <c r="T91" s="226"/>
      <c r="U91" s="408">
        <v>30</v>
      </c>
      <c r="V91" s="221">
        <f t="shared" si="24"/>
        <v>480</v>
      </c>
      <c r="W91" s="222">
        <f>(V91)/$R$71</f>
        <v>0.0030551967113862594</v>
      </c>
      <c r="X91" s="203"/>
      <c r="Y91" s="203" t="s">
        <v>103</v>
      </c>
      <c r="Z91" s="203">
        <v>75</v>
      </c>
      <c r="AA91" s="203">
        <v>50</v>
      </c>
      <c r="AB91" s="203">
        <v>75</v>
      </c>
      <c r="AC91" s="203">
        <v>900</v>
      </c>
      <c r="AD91" s="203">
        <v>1600</v>
      </c>
      <c r="AE91" s="203">
        <v>150</v>
      </c>
      <c r="AF91" s="203"/>
      <c r="AG91" s="203"/>
      <c r="AH91" s="203"/>
      <c r="AI91" s="203"/>
      <c r="AJ91" s="233" t="s">
        <v>104</v>
      </c>
      <c r="AK91" s="203"/>
      <c r="AL91" s="203"/>
      <c r="AM91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1" s="203"/>
      <c r="AO91" s="203"/>
      <c r="AP91" s="203"/>
      <c r="AQ91" s="203"/>
      <c r="AR91" s="203"/>
      <c r="AS91" s="203"/>
      <c r="AT91" s="498"/>
      <c r="AU91" s="203"/>
      <c r="AV91" s="490"/>
      <c r="AW91" s="475"/>
      <c r="AX91" s="475"/>
      <c r="AY91" s="475"/>
      <c r="AZ91" s="475"/>
      <c r="BA91" s="475"/>
      <c r="BB91" s="383"/>
      <c r="BD91" s="383"/>
      <c r="BE91" s="383"/>
      <c r="BF91" s="383"/>
      <c r="BG91" s="205">
        <v>4</v>
      </c>
      <c r="BH91" s="218">
        <f>BH98</f>
        <v>16</v>
      </c>
      <c r="BI91" s="219" t="s">
        <v>123</v>
      </c>
      <c r="BJ91" s="204"/>
      <c r="BK91" s="204"/>
      <c r="BL91" s="204"/>
      <c r="BM91" s="230" t="s">
        <v>124</v>
      </c>
      <c r="BN91" s="230"/>
      <c r="BO91" s="226"/>
      <c r="BP91" s="230">
        <v>30</v>
      </c>
      <c r="BQ91" s="221">
        <f t="shared" si="25"/>
        <v>480</v>
      </c>
      <c r="BR91" s="222">
        <f>(BQ91)/$R$71</f>
        <v>0.0030551967113862594</v>
      </c>
      <c r="BS91" s="203"/>
      <c r="BT91" s="203" t="s">
        <v>103</v>
      </c>
      <c r="BU91" s="203">
        <v>75</v>
      </c>
      <c r="BV91" s="203">
        <v>50</v>
      </c>
      <c r="BW91" s="203">
        <v>75</v>
      </c>
      <c r="BX91" s="203">
        <v>900</v>
      </c>
      <c r="BY91" s="203">
        <v>1600</v>
      </c>
      <c r="BZ91" s="203">
        <v>150</v>
      </c>
      <c r="CA91" s="203"/>
      <c r="CB91" s="203"/>
      <c r="CC91" s="203"/>
      <c r="CD91" s="203"/>
      <c r="CE91" s="233" t="s">
        <v>104</v>
      </c>
      <c r="CF91" s="203"/>
      <c r="CG91" s="203"/>
      <c r="CH91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1" s="203"/>
      <c r="CJ91" s="203"/>
      <c r="CK91" s="203"/>
      <c r="CL91" s="203"/>
      <c r="CM91" s="203"/>
      <c r="CN91" s="203"/>
      <c r="CO91" s="498"/>
    </row>
    <row r="92" ht="18.75">
      <c r="A92" s="490" t="s">
        <v>427</v>
      </c>
      <c r="B92" s="475"/>
      <c r="C92" s="475">
        <v>8</v>
      </c>
      <c r="D92" s="475" t="s">
        <v>62</v>
      </c>
      <c r="E92" s="475">
        <v>200</v>
      </c>
      <c r="F92" s="475">
        <f>C92*E92</f>
        <v>1600</v>
      </c>
      <c r="G92" s="383"/>
      <c r="I92" s="383"/>
      <c r="J92" s="383"/>
      <c r="K92" s="383"/>
      <c r="L92" s="205">
        <v>5</v>
      </c>
      <c r="M92" s="218">
        <f>IF((I79="بالتات"),0,4)</f>
        <v>0</v>
      </c>
      <c r="N92" s="219" t="s">
        <v>130</v>
      </c>
      <c r="O92" s="204"/>
      <c r="P92" s="204"/>
      <c r="Q92" s="204"/>
      <c r="R92" s="205" t="s">
        <v>124</v>
      </c>
      <c r="S92" s="205"/>
      <c r="T92" s="226"/>
      <c r="U92" s="220">
        <f>Sheet2!B30</f>
        <v>400</v>
      </c>
      <c r="V92" s="221">
        <f t="shared" si="24"/>
        <v>0</v>
      </c>
      <c r="W92" s="222">
        <f>(V92)/$R$71</f>
        <v>0</v>
      </c>
      <c r="X92" s="203"/>
      <c r="Y92" s="203" t="s">
        <v>105</v>
      </c>
      <c r="Z92" s="203">
        <v>100</v>
      </c>
      <c r="AA92" s="203">
        <v>50</v>
      </c>
      <c r="AB92" s="203">
        <v>75</v>
      </c>
      <c r="AC92" s="203">
        <v>1000</v>
      </c>
      <c r="AD92" s="203">
        <v>2000</v>
      </c>
      <c r="AE92" s="203">
        <v>150</v>
      </c>
      <c r="AF92" s="203"/>
      <c r="AG92" s="203"/>
      <c r="AH92" s="203"/>
      <c r="AI92" s="203"/>
      <c r="AJ92" s="233" t="s">
        <v>106</v>
      </c>
      <c r="AK92" s="203"/>
      <c r="AL92" s="203"/>
      <c r="AM92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2" s="203"/>
      <c r="AO92" s="203"/>
      <c r="AP92" s="203"/>
      <c r="AQ92" s="203"/>
      <c r="AR92" s="203"/>
      <c r="AS92" s="203"/>
      <c r="AT92" s="498"/>
      <c r="AU92" s="203"/>
      <c r="AV92" s="490"/>
      <c r="AW92" s="475"/>
      <c r="AX92" s="475"/>
      <c r="AY92" s="475"/>
      <c r="AZ92" s="475"/>
      <c r="BA92" s="475"/>
      <c r="BB92" s="383"/>
      <c r="BD92" s="383"/>
      <c r="BE92" s="383"/>
      <c r="BF92" s="383"/>
      <c r="BG92" s="205">
        <v>5</v>
      </c>
      <c r="BH92" s="218">
        <f>IF((BD79="بالتات"),0,4)</f>
        <v>0</v>
      </c>
      <c r="BI92" s="219" t="s">
        <v>130</v>
      </c>
      <c r="BJ92" s="204"/>
      <c r="BK92" s="204"/>
      <c r="BL92" s="204"/>
      <c r="BM92" s="205" t="s">
        <v>124</v>
      </c>
      <c r="BN92" s="205"/>
      <c r="BO92" s="226"/>
      <c r="BP92" s="220">
        <f>Sheet2!AW30</f>
        <v>0</v>
      </c>
      <c r="BQ92" s="221">
        <f t="shared" si="25"/>
        <v>0</v>
      </c>
      <c r="BR92" s="222">
        <f>(BQ92)/$R$71</f>
        <v>0</v>
      </c>
      <c r="BS92" s="203"/>
      <c r="BT92" s="203" t="s">
        <v>105</v>
      </c>
      <c r="BU92" s="203">
        <v>100</v>
      </c>
      <c r="BV92" s="203">
        <v>50</v>
      </c>
      <c r="BW92" s="203">
        <v>75</v>
      </c>
      <c r="BX92" s="203">
        <v>1000</v>
      </c>
      <c r="BY92" s="203">
        <v>2000</v>
      </c>
      <c r="BZ92" s="203">
        <v>150</v>
      </c>
      <c r="CA92" s="203"/>
      <c r="CB92" s="203"/>
      <c r="CC92" s="203"/>
      <c r="CD92" s="203"/>
      <c r="CE92" s="233" t="s">
        <v>106</v>
      </c>
      <c r="CF92" s="203"/>
      <c r="CG92" s="203"/>
      <c r="CH92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2" s="203"/>
      <c r="CJ92" s="203"/>
      <c r="CK92" s="203"/>
      <c r="CL92" s="203"/>
      <c r="CM92" s="203"/>
      <c r="CN92" s="203"/>
      <c r="CO92" s="498"/>
    </row>
    <row r="93" ht="18.75">
      <c r="A93" s="490" t="s">
        <v>423</v>
      </c>
      <c r="B93" s="475"/>
      <c r="C93" s="475">
        <f>B81*2</f>
        <v>64</v>
      </c>
      <c r="D93" s="475" t="s">
        <v>62</v>
      </c>
      <c r="E93" s="475">
        <v>100</v>
      </c>
      <c r="F93" s="475">
        <f>C93*E93</f>
        <v>6400</v>
      </c>
      <c r="G93" s="383"/>
      <c r="K93" s="383"/>
      <c r="L93" s="205" t="s">
        <v>88</v>
      </c>
      <c r="M93" s="218"/>
      <c r="N93" s="219" t="s">
        <v>88</v>
      </c>
      <c r="O93" s="204"/>
      <c r="P93" s="204"/>
      <c r="Q93" s="203"/>
      <c r="R93" s="205"/>
      <c r="S93" s="205"/>
      <c r="T93" s="205"/>
      <c r="U93" s="226"/>
      <c r="V93" s="221">
        <f>SUBTOTAL(109,Table15617293[اجمالي])</f>
        <v>1325</v>
      </c>
      <c r="W93" s="243">
        <f>Table15617293[[#Totals],[اجمالي]]/$R$71</f>
        <v>0.00843361592205582</v>
      </c>
      <c r="X93" s="203"/>
      <c r="Y93" s="203" t="s">
        <v>108</v>
      </c>
      <c r="Z93" s="203">
        <v>120</v>
      </c>
      <c r="AA93" s="203">
        <v>50</v>
      </c>
      <c r="AB93" s="203">
        <v>75</v>
      </c>
      <c r="AC93" s="203">
        <v>1100</v>
      </c>
      <c r="AD93" s="203">
        <v>2100</v>
      </c>
      <c r="AE93" s="203">
        <v>200</v>
      </c>
      <c r="AF93" s="203"/>
      <c r="AG93" s="203"/>
      <c r="AH93" s="203"/>
      <c r="AI93" s="203"/>
      <c r="AJ93" s="233" t="s">
        <v>109</v>
      </c>
      <c r="AK93" s="203">
        <v>0.1</v>
      </c>
      <c r="AL93" s="203"/>
      <c r="AM93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3" s="203"/>
      <c r="AO93" s="203"/>
      <c r="AP93" s="203"/>
      <c r="AQ93" s="203"/>
      <c r="AR93" s="203"/>
      <c r="AS93" s="203"/>
      <c r="AT93" s="498"/>
      <c r="AU93" s="203"/>
      <c r="AV93" s="490"/>
      <c r="AW93" s="475"/>
      <c r="AX93" s="475"/>
      <c r="AY93" s="475"/>
      <c r="AZ93" s="475"/>
      <c r="BA93" s="475"/>
      <c r="BB93" s="383"/>
      <c r="BF93" s="383"/>
      <c r="BG93" s="205" t="s">
        <v>88</v>
      </c>
      <c r="BH93" s="218"/>
      <c r="BI93" s="219" t="s">
        <v>88</v>
      </c>
      <c r="BJ93" s="204"/>
      <c r="BK93" s="204"/>
      <c r="BL93" s="203"/>
      <c r="BM93" s="205"/>
      <c r="BN93" s="205"/>
      <c r="BO93" s="205"/>
      <c r="BP93" s="226"/>
      <c r="BQ93" s="221">
        <f>SUBTOTAL(109,Table15617293104[اجمالي])</f>
        <v>725</v>
      </c>
      <c r="BR93" s="243">
        <f>Table15617293104[[#Totals],[اجمالي]]/$R$71</f>
        <v>0.0046146200328229959</v>
      </c>
      <c r="BS93" s="203"/>
      <c r="BT93" s="203" t="s">
        <v>108</v>
      </c>
      <c r="BU93" s="203">
        <v>120</v>
      </c>
      <c r="BV93" s="203">
        <v>50</v>
      </c>
      <c r="BW93" s="203">
        <v>75</v>
      </c>
      <c r="BX93" s="203">
        <v>1100</v>
      </c>
      <c r="BY93" s="203">
        <v>2100</v>
      </c>
      <c r="BZ93" s="203">
        <v>200</v>
      </c>
      <c r="CA93" s="203"/>
      <c r="CB93" s="203"/>
      <c r="CC93" s="203"/>
      <c r="CD93" s="203"/>
      <c r="CE93" s="233" t="s">
        <v>109</v>
      </c>
      <c r="CF93" s="203">
        <v>0.1</v>
      </c>
      <c r="CG93" s="203"/>
      <c r="CH93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3" s="203"/>
      <c r="CJ93" s="203"/>
      <c r="CK93" s="203"/>
      <c r="CL93" s="203"/>
      <c r="CM93" s="203"/>
      <c r="CN93" s="203"/>
      <c r="CO93" s="498"/>
    </row>
    <row r="94" ht="18.75">
      <c r="A94" s="490" t="s">
        <v>424</v>
      </c>
      <c r="B94" s="475"/>
      <c r="C94" s="475">
        <f>B81*2</f>
        <v>64</v>
      </c>
      <c r="D94" s="475" t="s">
        <v>62</v>
      </c>
      <c r="E94" s="475">
        <v>200</v>
      </c>
      <c r="F94" s="475">
        <f>C94*E94</f>
        <v>12800</v>
      </c>
      <c r="G94" s="383"/>
      <c r="K94" s="383"/>
      <c r="L94" s="203"/>
      <c r="M94" s="203"/>
      <c r="N94" s="231"/>
      <c r="O94" s="629" t="s">
        <v>132</v>
      </c>
      <c r="P94" s="629"/>
      <c r="Q94" s="629"/>
      <c r="R94" s="629"/>
      <c r="S94" s="629"/>
      <c r="T94" s="629"/>
      <c r="U94" s="203"/>
      <c r="V94" s="203"/>
      <c r="W94" s="203"/>
      <c r="X94" s="203"/>
      <c r="Y94" s="203" t="s">
        <v>111</v>
      </c>
      <c r="Z94" s="203">
        <v>150</v>
      </c>
      <c r="AA94" s="203">
        <v>50</v>
      </c>
      <c r="AB94" s="203">
        <v>75</v>
      </c>
      <c r="AC94" s="203">
        <v>1300</v>
      </c>
      <c r="AD94" s="203">
        <v>2200</v>
      </c>
      <c r="AE94" s="203">
        <v>200</v>
      </c>
      <c r="AF94" s="203"/>
      <c r="AG94" s="203"/>
      <c r="AH94" s="203"/>
      <c r="AI94" s="203"/>
      <c r="AJ94" s="233" t="s">
        <v>112</v>
      </c>
      <c r="AK94" s="203">
        <v>0.1</v>
      </c>
      <c r="AL94" s="203"/>
      <c r="AM94" s="203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94" s="203"/>
      <c r="AO94" s="203"/>
      <c r="AP94" s="203"/>
      <c r="AQ94" s="203"/>
      <c r="AR94" s="203"/>
      <c r="AS94" s="203"/>
      <c r="AT94" s="498"/>
      <c r="AU94" s="203"/>
      <c r="AV94" s="490"/>
      <c r="AW94" s="475"/>
      <c r="AX94" s="475"/>
      <c r="AY94" s="475"/>
      <c r="AZ94" s="475"/>
      <c r="BA94" s="475"/>
      <c r="BB94" s="383"/>
      <c r="BF94" s="383"/>
      <c r="BG94" s="203"/>
      <c r="BH94" s="203"/>
      <c r="BI94" s="231"/>
      <c r="BJ94" s="629" t="s">
        <v>132</v>
      </c>
      <c r="BK94" s="629"/>
      <c r="BL94" s="629"/>
      <c r="BM94" s="629"/>
      <c r="BN94" s="629"/>
      <c r="BO94" s="629"/>
      <c r="BP94" s="203"/>
      <c r="BQ94" s="203"/>
      <c r="BR94" s="203"/>
      <c r="BS94" s="203"/>
      <c r="BT94" s="203" t="s">
        <v>111</v>
      </c>
      <c r="BU94" s="203">
        <v>150</v>
      </c>
      <c r="BV94" s="203">
        <v>50</v>
      </c>
      <c r="BW94" s="203">
        <v>75</v>
      </c>
      <c r="BX94" s="203">
        <v>1300</v>
      </c>
      <c r="BY94" s="203">
        <v>2200</v>
      </c>
      <c r="BZ94" s="203">
        <v>200</v>
      </c>
      <c r="CA94" s="203"/>
      <c r="CB94" s="203"/>
      <c r="CC94" s="203"/>
      <c r="CD94" s="203"/>
      <c r="CE94" s="233" t="s">
        <v>112</v>
      </c>
      <c r="CF94" s="203">
        <v>0.1</v>
      </c>
      <c r="CG94" s="203"/>
      <c r="CH94" s="203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94" s="203"/>
      <c r="CJ94" s="203"/>
      <c r="CK94" s="203"/>
      <c r="CL94" s="203"/>
      <c r="CM94" s="203"/>
      <c r="CN94" s="203"/>
      <c r="CO94" s="498"/>
    </row>
    <row r="95" ht="18.75">
      <c r="A95" s="490" t="s">
        <v>428</v>
      </c>
      <c r="B95" s="475">
        <v>2</v>
      </c>
      <c r="C95" s="475"/>
      <c r="D95" s="475" t="s">
        <v>405</v>
      </c>
      <c r="E95" s="475">
        <v>1000</v>
      </c>
      <c r="F95" s="475">
        <f>B95*E95</f>
        <v>2000</v>
      </c>
      <c r="G95" s="383"/>
      <c r="K95" s="383"/>
      <c r="L95" s="205" t="s">
        <v>61</v>
      </c>
      <c r="M95" s="205" t="s">
        <v>62</v>
      </c>
      <c r="N95" s="233" t="s">
        <v>63</v>
      </c>
      <c r="O95" s="205" t="s">
        <v>64</v>
      </c>
      <c r="P95" s="205" t="s">
        <v>43</v>
      </c>
      <c r="Q95" s="205" t="s">
        <v>95</v>
      </c>
      <c r="R95" s="205" t="s">
        <v>66</v>
      </c>
      <c r="S95" s="205" t="s">
        <v>67</v>
      </c>
      <c r="T95" s="205" t="s">
        <v>110</v>
      </c>
      <c r="U95" s="205" t="s">
        <v>69</v>
      </c>
      <c r="V95" s="234" t="s">
        <v>70</v>
      </c>
      <c r="W95" s="205" t="s">
        <v>71</v>
      </c>
      <c r="X95" s="203"/>
      <c r="Y95" s="203" t="s">
        <v>115</v>
      </c>
      <c r="Z95" s="203">
        <v>150</v>
      </c>
      <c r="AA95" s="203">
        <v>50</v>
      </c>
      <c r="AB95" s="203">
        <v>75</v>
      </c>
      <c r="AC95" s="203">
        <v>1200</v>
      </c>
      <c r="AD95" s="203">
        <v>2300</v>
      </c>
      <c r="AE95" s="203">
        <v>200</v>
      </c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498"/>
      <c r="AU95" s="203"/>
      <c r="AV95" s="490"/>
      <c r="AW95" s="475"/>
      <c r="AX95" s="475"/>
      <c r="AY95" s="475"/>
      <c r="AZ95" s="475"/>
      <c r="BA95" s="475"/>
      <c r="BB95" s="383"/>
      <c r="BF95" s="383"/>
      <c r="BG95" s="205" t="s">
        <v>61</v>
      </c>
      <c r="BH95" s="205" t="s">
        <v>62</v>
      </c>
      <c r="BI95" s="233" t="s">
        <v>63</v>
      </c>
      <c r="BJ95" s="205" t="s">
        <v>64</v>
      </c>
      <c r="BK95" s="205" t="s">
        <v>43</v>
      </c>
      <c r="BL95" s="205" t="s">
        <v>95</v>
      </c>
      <c r="BM95" s="205" t="s">
        <v>66</v>
      </c>
      <c r="BN95" s="205" t="s">
        <v>67</v>
      </c>
      <c r="BO95" s="205" t="s">
        <v>110</v>
      </c>
      <c r="BP95" s="205" t="s">
        <v>69</v>
      </c>
      <c r="BQ95" s="234" t="s">
        <v>70</v>
      </c>
      <c r="BR95" s="205" t="s">
        <v>71</v>
      </c>
      <c r="BS95" s="203"/>
      <c r="BT95" s="203" t="s">
        <v>115</v>
      </c>
      <c r="BU95" s="203">
        <v>150</v>
      </c>
      <c r="BV95" s="203">
        <v>50</v>
      </c>
      <c r="BW95" s="203">
        <v>75</v>
      </c>
      <c r="BX95" s="203">
        <v>1200</v>
      </c>
      <c r="BY95" s="203">
        <v>2300</v>
      </c>
      <c r="BZ95" s="203">
        <v>200</v>
      </c>
      <c r="CA95" s="203"/>
      <c r="CB95" s="203"/>
      <c r="CC95" s="203"/>
      <c r="CD95" s="203"/>
      <c r="CE95" s="203"/>
      <c r="CF95" s="203"/>
      <c r="CG95" s="203"/>
      <c r="CH95" s="203"/>
      <c r="CI95" s="203"/>
      <c r="CJ95" s="203"/>
      <c r="CK95" s="203"/>
      <c r="CL95" s="203"/>
      <c r="CM95" s="203"/>
      <c r="CN95" s="203"/>
      <c r="CO95" s="498"/>
    </row>
    <row r="96" ht="18.75">
      <c r="A96" s="490" t="s">
        <v>429</v>
      </c>
      <c r="B96" s="475"/>
      <c r="C96" s="475">
        <f>ROUNDUP(((C81*B81)/100),0)</f>
        <v>123</v>
      </c>
      <c r="D96" s="475" t="s">
        <v>405</v>
      </c>
      <c r="E96" s="475">
        <v>5</v>
      </c>
      <c r="F96" s="475">
        <f>C96*E96</f>
        <v>615</v>
      </c>
      <c r="G96" s="383"/>
      <c r="K96" s="383"/>
      <c r="L96" s="492">
        <v>1</v>
      </c>
      <c r="M96" s="493">
        <f>IF((I79="بالتات"),4,0)</f>
        <v>4</v>
      </c>
      <c r="N96" s="206" t="s">
        <v>134</v>
      </c>
      <c r="O96" s="495">
        <v>0.4</v>
      </c>
      <c r="P96" s="495">
        <v>0.4</v>
      </c>
      <c r="Q96" s="205">
        <f>(Table16627394[[#This Row],[Column1]]+Table16627394[[#This Row],[Column2]])*12</f>
        <v>9.6000000000000014</v>
      </c>
      <c r="R96" s="492"/>
      <c r="S96" s="492">
        <v>12</v>
      </c>
      <c r="T96" s="492"/>
      <c r="U96" s="502">
        <f>S96*$S$2/1000</f>
        <v>552</v>
      </c>
      <c r="V96" s="497">
        <f>M96*U96</f>
        <v>2208</v>
      </c>
      <c r="W96" s="503">
        <f>(V96)/$R$71</f>
        <v>0.014053904872376795</v>
      </c>
      <c r="X96" s="203"/>
      <c r="Y96" s="203" t="s">
        <v>118</v>
      </c>
      <c r="Z96" s="203">
        <v>500</v>
      </c>
      <c r="AA96" s="203">
        <v>200</v>
      </c>
      <c r="AB96" s="203">
        <v>100</v>
      </c>
      <c r="AC96" s="203">
        <v>2500</v>
      </c>
      <c r="AD96" s="203">
        <v>4000</v>
      </c>
      <c r="AE96" s="203">
        <v>300</v>
      </c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3"/>
      <c r="AT96" s="498"/>
      <c r="AU96" s="203"/>
      <c r="AV96" s="490"/>
      <c r="AW96" s="475"/>
      <c r="AX96" s="475"/>
      <c r="AY96" s="475"/>
      <c r="AZ96" s="475"/>
      <c r="BA96" s="475"/>
      <c r="BB96" s="383"/>
      <c r="BF96" s="383"/>
      <c r="BG96" s="492">
        <v>1</v>
      </c>
      <c r="BH96" s="493">
        <f>IF((BD79="بالتات"),4,0)</f>
        <v>4</v>
      </c>
      <c r="BI96" s="206" t="s">
        <v>134</v>
      </c>
      <c r="BJ96" s="495">
        <v>0.4</v>
      </c>
      <c r="BK96" s="495">
        <v>0.4</v>
      </c>
      <c r="BL96" s="205">
        <f>(Table16627394105[[#This Row],[Column1]]+Table16627394105[[#This Row],[Column2]])*12</f>
        <v>9.6000000000000014</v>
      </c>
      <c r="BM96" s="492"/>
      <c r="BN96" s="492">
        <v>12</v>
      </c>
      <c r="BO96" s="492"/>
      <c r="BP96" s="502">
        <f>BN96*$S$2/1000</f>
        <v>552</v>
      </c>
      <c r="BQ96" s="497">
        <f>BH96*BP96</f>
        <v>2208</v>
      </c>
      <c r="BR96" s="503">
        <f>(BQ96)/$R$71</f>
        <v>0.014053904872376795</v>
      </c>
      <c r="BS96" s="203"/>
      <c r="BT96" s="203" t="s">
        <v>118</v>
      </c>
      <c r="BU96" s="203">
        <v>500</v>
      </c>
      <c r="BV96" s="203">
        <v>200</v>
      </c>
      <c r="BW96" s="203">
        <v>100</v>
      </c>
      <c r="BX96" s="203">
        <v>2500</v>
      </c>
      <c r="BY96" s="203">
        <v>4000</v>
      </c>
      <c r="BZ96" s="203">
        <v>300</v>
      </c>
      <c r="CA96" s="203"/>
      <c r="CB96" s="203"/>
      <c r="CC96" s="203"/>
      <c r="CD96" s="203"/>
      <c r="CE96" s="203"/>
      <c r="CF96" s="203"/>
      <c r="CG96" s="203"/>
      <c r="CH96" s="203"/>
      <c r="CI96" s="203"/>
      <c r="CJ96" s="203"/>
      <c r="CK96" s="203"/>
      <c r="CL96" s="203"/>
      <c r="CM96" s="203"/>
      <c r="CN96" s="203"/>
      <c r="CO96" s="498"/>
    </row>
    <row r="97" ht="18.75">
      <c r="A97" s="490" t="s">
        <v>430</v>
      </c>
      <c r="B97" s="475" t="s">
        <v>431</v>
      </c>
      <c r="C97" s="475">
        <f>ROUNDUP((B81/3),0)</f>
        <v>11</v>
      </c>
      <c r="D97" s="475" t="s">
        <v>62</v>
      </c>
      <c r="E97" s="475">
        <v>175</v>
      </c>
      <c r="F97" s="475">
        <f>C97*E97</f>
        <v>1925</v>
      </c>
      <c r="L97" s="205">
        <v>2</v>
      </c>
      <c r="M97" s="201">
        <v>0</v>
      </c>
      <c r="N97" s="206" t="s">
        <v>308</v>
      </c>
      <c r="O97" s="227">
        <v>0.3</v>
      </c>
      <c r="P97" s="227">
        <v>0.3</v>
      </c>
      <c r="Q97" s="227">
        <f>(Table16627394[[#This Row],[Column1]]*Table16627394[[#This Row],[Column2]])*2*Table16627394[[#This Row],[عدد]]</f>
        <v>0</v>
      </c>
      <c r="R97" s="228" t="s">
        <v>117</v>
      </c>
      <c r="S97" s="228">
        <v>7</v>
      </c>
      <c r="T97" s="205"/>
      <c r="U97" s="220">
        <f>S97*$S$2/1000</f>
        <v>322</v>
      </c>
      <c r="V97" s="221">
        <f>M97*U97</f>
        <v>0</v>
      </c>
      <c r="W97" s="222">
        <f>(V97)/$R$71</f>
        <v>0</v>
      </c>
      <c r="X97" s="203"/>
      <c r="Y97" s="203" t="s">
        <v>120</v>
      </c>
      <c r="Z97" s="203">
        <v>500</v>
      </c>
      <c r="AA97" s="203">
        <v>200</v>
      </c>
      <c r="AB97" s="203">
        <v>100</v>
      </c>
      <c r="AC97" s="203">
        <v>3500</v>
      </c>
      <c r="AD97" s="203">
        <v>5000</v>
      </c>
      <c r="AE97" s="203">
        <v>300</v>
      </c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498"/>
      <c r="AU97" s="203"/>
      <c r="AV97" s="554" t="s">
        <v>88</v>
      </c>
      <c r="AW97" s="555">
        <f>(Table80102113[[#Totals],[price]]*1.1)/(BA78*AY78/10000)</f>
        <v>4414.7473333333337</v>
      </c>
      <c r="AX97" s="556"/>
      <c r="AY97" s="556"/>
      <c r="AZ97" s="556"/>
      <c r="BA97" s="556">
        <f>SUBTOTAL(109,Table80102113[price])</f>
        <v>60201.1</v>
      </c>
      <c r="BG97" s="205">
        <v>2</v>
      </c>
      <c r="BH97" s="201">
        <v>0</v>
      </c>
      <c r="BI97" s="206" t="s">
        <v>308</v>
      </c>
      <c r="BJ97" s="227">
        <v>0.3</v>
      </c>
      <c r="BK97" s="227">
        <v>0.3</v>
      </c>
      <c r="BL97" s="227">
        <f>(Table16627394105[[#This Row],[Column1]]*Table16627394105[[#This Row],[Column2]])*2*Table16627394105[[#This Row],[عدد]]</f>
        <v>0</v>
      </c>
      <c r="BM97" s="228" t="s">
        <v>117</v>
      </c>
      <c r="BN97" s="228">
        <v>7</v>
      </c>
      <c r="BO97" s="205"/>
      <c r="BP97" s="220">
        <f>BN97*$S$2/1000</f>
        <v>322</v>
      </c>
      <c r="BQ97" s="221">
        <f>BH97*BP97</f>
        <v>0</v>
      </c>
      <c r="BR97" s="222">
        <f>(BQ97)/$R$71</f>
        <v>0</v>
      </c>
      <c r="BS97" s="203"/>
      <c r="BT97" s="203" t="s">
        <v>120</v>
      </c>
      <c r="BU97" s="203">
        <v>500</v>
      </c>
      <c r="BV97" s="203">
        <v>200</v>
      </c>
      <c r="BW97" s="203">
        <v>100</v>
      </c>
      <c r="BX97" s="203">
        <v>3500</v>
      </c>
      <c r="BY97" s="203">
        <v>5000</v>
      </c>
      <c r="BZ97" s="203">
        <v>300</v>
      </c>
      <c r="CA97" s="203"/>
      <c r="CB97" s="203"/>
      <c r="CC97" s="203"/>
      <c r="CD97" s="203"/>
      <c r="CE97" s="203"/>
      <c r="CF97" s="203"/>
      <c r="CG97" s="203"/>
      <c r="CH97" s="203"/>
      <c r="CI97" s="203"/>
      <c r="CJ97" s="203"/>
      <c r="CK97" s="203"/>
      <c r="CL97" s="203"/>
      <c r="CM97" s="203"/>
      <c r="CN97" s="203"/>
      <c r="CO97" s="498"/>
    </row>
    <row r="98" ht="18.75">
      <c r="A98" s="490" t="s">
        <v>432</v>
      </c>
      <c r="B98" s="475" t="s">
        <v>433</v>
      </c>
      <c r="C98" s="475">
        <f>C97</f>
        <v>11</v>
      </c>
      <c r="D98" s="475" t="s">
        <v>62</v>
      </c>
      <c r="E98" s="475">
        <v>100</v>
      </c>
      <c r="F98" s="475">
        <f>E98*C98</f>
        <v>1100</v>
      </c>
      <c r="L98" s="205">
        <v>3</v>
      </c>
      <c r="M98" s="218">
        <f>M96*4</f>
        <v>16</v>
      </c>
      <c r="N98" s="219" t="s">
        <v>135</v>
      </c>
      <c r="O98" s="204">
        <v>0.1</v>
      </c>
      <c r="P98" s="204">
        <v>0.1</v>
      </c>
      <c r="Q98" s="227">
        <f>(Table16627394[[#This Row],[Column1]]*Table16627394[[#This Row],[Column2]])*Table16627394[[#This Row],[عدد]]</f>
        <v>0.16000000000000003</v>
      </c>
      <c r="R98" s="205" t="s">
        <v>117</v>
      </c>
      <c r="S98" s="205">
        <v>0.75</v>
      </c>
      <c r="T98" s="205"/>
      <c r="U98" s="220">
        <f>S98*$S$2/1000</f>
        <v>34.5</v>
      </c>
      <c r="V98" s="221">
        <f>M98*U98</f>
        <v>552</v>
      </c>
      <c r="W98" s="253">
        <f>(V98)/$R$71</f>
        <v>0.0035134762180941987</v>
      </c>
      <c r="X98" s="203"/>
      <c r="Y98" s="203" t="s">
        <v>122</v>
      </c>
      <c r="Z98" s="203">
        <v>550</v>
      </c>
      <c r="AA98" s="203">
        <v>200</v>
      </c>
      <c r="AB98" s="203">
        <v>100</v>
      </c>
      <c r="AC98" s="203">
        <v>4500</v>
      </c>
      <c r="AD98" s="203">
        <v>6000</v>
      </c>
      <c r="AE98" s="203">
        <v>300</v>
      </c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498"/>
      <c r="AU98" s="203"/>
      <c r="AV98" s="504"/>
      <c r="BG98" s="205">
        <v>3</v>
      </c>
      <c r="BH98" s="218">
        <f>BH96*4</f>
        <v>16</v>
      </c>
      <c r="BI98" s="219" t="s">
        <v>135</v>
      </c>
      <c r="BJ98" s="204">
        <v>0.1</v>
      </c>
      <c r="BK98" s="204">
        <v>0.1</v>
      </c>
      <c r="BL98" s="227">
        <f>(Table16627394105[[#This Row],[Column1]]*Table16627394105[[#This Row],[Column2]])*Table16627394105[[#This Row],[عدد]]</f>
        <v>0.16000000000000003</v>
      </c>
      <c r="BM98" s="205" t="s">
        <v>117</v>
      </c>
      <c r="BN98" s="205">
        <v>0.75</v>
      </c>
      <c r="BO98" s="205"/>
      <c r="BP98" s="220">
        <f>BN98*$S$2/1000</f>
        <v>34.5</v>
      </c>
      <c r="BQ98" s="221">
        <f>BH98*BP98</f>
        <v>552</v>
      </c>
      <c r="BR98" s="253">
        <f>(BQ98)/$R$71</f>
        <v>0.0035134762180941987</v>
      </c>
      <c r="BS98" s="203"/>
      <c r="BT98" s="203" t="s">
        <v>122</v>
      </c>
      <c r="BU98" s="203">
        <v>550</v>
      </c>
      <c r="BV98" s="203">
        <v>200</v>
      </c>
      <c r="BW98" s="203">
        <v>100</v>
      </c>
      <c r="BX98" s="203">
        <v>4500</v>
      </c>
      <c r="BY98" s="203">
        <v>6000</v>
      </c>
      <c r="BZ98" s="203">
        <v>300</v>
      </c>
      <c r="CA98" s="203"/>
      <c r="CB98" s="203"/>
      <c r="CC98" s="203"/>
      <c r="CD98" s="203"/>
      <c r="CE98" s="203"/>
      <c r="CF98" s="203"/>
      <c r="CG98" s="203"/>
      <c r="CH98" s="203"/>
      <c r="CI98" s="203"/>
      <c r="CJ98" s="203"/>
      <c r="CK98" s="203"/>
      <c r="CL98" s="203"/>
      <c r="CM98" s="203"/>
      <c r="CN98" s="203"/>
      <c r="CO98" s="498"/>
    </row>
    <row r="99" ht="18.75">
      <c r="A99" s="490" t="s">
        <v>434</v>
      </c>
      <c r="B99" s="475" t="s">
        <v>62</v>
      </c>
      <c r="C99" s="475">
        <v>2</v>
      </c>
      <c r="D99" s="475" t="s">
        <v>62</v>
      </c>
      <c r="E99" s="475">
        <v>300</v>
      </c>
      <c r="F99" s="475">
        <f>E99*C99</f>
        <v>600</v>
      </c>
      <c r="L99" s="492" t="s">
        <v>88</v>
      </c>
      <c r="M99" s="218">
        <f>SUBTOTAL(109,Table16627394[عدد])</f>
        <v>20</v>
      </c>
      <c r="N99" s="494" t="s">
        <v>88</v>
      </c>
      <c r="O99" s="495"/>
      <c r="P99" s="495"/>
      <c r="Q99" s="499">
        <f>SUBTOTAL(109,Table16627394[Column12])</f>
        <v>9.7600000000000016</v>
      </c>
      <c r="R99" s="492"/>
      <c r="S99" s="492">
        <f>(S97*M97)+(M98*S98)</f>
        <v>12</v>
      </c>
      <c r="T99" s="492"/>
      <c r="U99" s="500"/>
      <c r="V99" s="497">
        <f>SUBTOTAL(109,Table16627394[اجمالي])</f>
        <v>2760</v>
      </c>
      <c r="W99" s="501">
        <f>Table16627394[[#Totals],[اجمالي]]/$R$71</f>
        <v>0.017567381090470992</v>
      </c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498"/>
      <c r="AU99" s="203"/>
      <c r="AV99" s="504"/>
      <c r="BG99" s="492" t="s">
        <v>88</v>
      </c>
      <c r="BH99" s="218">
        <f>SUBTOTAL(109,Table16627394105[عدد])</f>
        <v>20</v>
      </c>
      <c r="BI99" s="494" t="s">
        <v>88</v>
      </c>
      <c r="BJ99" s="495"/>
      <c r="BK99" s="495"/>
      <c r="BL99" s="499">
        <f>SUBTOTAL(109,Table16627394105[Column12])</f>
        <v>9.7600000000000016</v>
      </c>
      <c r="BM99" s="492"/>
      <c r="BN99" s="492">
        <f>(BN97*BH97)+(BH98*BN98)</f>
        <v>12</v>
      </c>
      <c r="BO99" s="492"/>
      <c r="BP99" s="500"/>
      <c r="BQ99" s="497">
        <f>SUBTOTAL(109,Table16627394105[اجمالي])</f>
        <v>2760</v>
      </c>
      <c r="BR99" s="501">
        <f>Table16627394105[[#Totals],[اجمالي]]/$R$71</f>
        <v>0.017567381090470992</v>
      </c>
      <c r="BS99" s="203"/>
      <c r="BT99" s="203"/>
      <c r="BU99" s="203"/>
      <c r="BV99" s="203"/>
      <c r="BW99" s="203"/>
      <c r="BX99" s="203"/>
      <c r="BY99" s="203"/>
      <c r="BZ99" s="203"/>
      <c r="CA99" s="203"/>
      <c r="CB99" s="203"/>
      <c r="CC99" s="203"/>
      <c r="CD99" s="203"/>
      <c r="CE99" s="203"/>
      <c r="CF99" s="203"/>
      <c r="CG99" s="203"/>
      <c r="CH99" s="203"/>
      <c r="CI99" s="203"/>
      <c r="CJ99" s="203"/>
      <c r="CK99" s="203"/>
      <c r="CL99" s="203"/>
      <c r="CM99" s="203"/>
      <c r="CN99" s="203"/>
      <c r="CO99" s="498"/>
    </row>
    <row r="100" ht="18.75">
      <c r="A100" s="490" t="s">
        <v>240</v>
      </c>
      <c r="B100" s="475" t="s">
        <v>62</v>
      </c>
      <c r="C100" s="475">
        <v>1</v>
      </c>
      <c r="D100" s="475" t="s">
        <v>62</v>
      </c>
      <c r="E100" s="475">
        <v>5000</v>
      </c>
      <c r="F100" s="475">
        <f>E100*C100</f>
        <v>5000</v>
      </c>
      <c r="L100" s="203"/>
      <c r="M100" s="203"/>
      <c r="N100" s="231"/>
      <c r="O100" s="629" t="s">
        <v>136</v>
      </c>
      <c r="P100" s="629"/>
      <c r="Q100" s="629"/>
      <c r="R100" s="629"/>
      <c r="S100" s="629"/>
      <c r="T100" s="629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498"/>
      <c r="AU100" s="203"/>
      <c r="AV100" s="504"/>
      <c r="BG100" s="203"/>
      <c r="BH100" s="203"/>
      <c r="BI100" s="231"/>
      <c r="BJ100" s="629" t="s">
        <v>136</v>
      </c>
      <c r="BK100" s="629"/>
      <c r="BL100" s="629"/>
      <c r="BM100" s="629"/>
      <c r="BN100" s="629"/>
      <c r="BO100" s="629"/>
      <c r="BP100" s="203"/>
      <c r="BQ100" s="203"/>
      <c r="BR100" s="203"/>
      <c r="BS100" s="203"/>
      <c r="BT100" s="203"/>
      <c r="BU100" s="203"/>
      <c r="BV100" s="203"/>
      <c r="BW100" s="203"/>
      <c r="BX100" s="203"/>
      <c r="BY100" s="203"/>
      <c r="BZ100" s="203"/>
      <c r="CA100" s="203"/>
      <c r="CB100" s="203"/>
      <c r="CC100" s="203"/>
      <c r="CD100" s="203"/>
      <c r="CE100" s="203"/>
      <c r="CF100" s="203"/>
      <c r="CG100" s="203"/>
      <c r="CH100" s="203"/>
      <c r="CI100" s="203"/>
      <c r="CJ100" s="203"/>
      <c r="CK100" s="203"/>
      <c r="CL100" s="203"/>
      <c r="CM100" s="203"/>
      <c r="CN100" s="203"/>
      <c r="CO100" s="498"/>
    </row>
    <row r="101" ht="18.75">
      <c r="A101" s="490" t="s">
        <v>88</v>
      </c>
      <c r="B101" s="478">
        <f>(Table80102[[#Totals],[price]]*1.1)/(F79*D79/10000)</f>
        <v>6250.618</v>
      </c>
      <c r="C101" s="475"/>
      <c r="D101" s="475"/>
      <c r="E101" s="475"/>
      <c r="F101" s="475">
        <f>SUBTOTAL(109,Table80102[price])</f>
        <v>113647.6</v>
      </c>
      <c r="L101" s="205" t="s">
        <v>61</v>
      </c>
      <c r="M101" s="205" t="s">
        <v>62</v>
      </c>
      <c r="N101" s="233" t="s">
        <v>63</v>
      </c>
      <c r="O101" s="205" t="s">
        <v>64</v>
      </c>
      <c r="P101" s="205" t="s">
        <v>43</v>
      </c>
      <c r="Q101" s="205" t="s">
        <v>95</v>
      </c>
      <c r="R101" s="205" t="s">
        <v>66</v>
      </c>
      <c r="S101" s="205" t="s">
        <v>67</v>
      </c>
      <c r="T101" s="205" t="s">
        <v>110</v>
      </c>
      <c r="U101" s="205" t="s">
        <v>69</v>
      </c>
      <c r="V101" s="234" t="s">
        <v>70</v>
      </c>
      <c r="W101" s="205" t="s">
        <v>71</v>
      </c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498"/>
      <c r="AU101" s="203"/>
      <c r="AV101" s="504"/>
      <c r="BG101" s="205" t="s">
        <v>61</v>
      </c>
      <c r="BH101" s="205" t="s">
        <v>62</v>
      </c>
      <c r="BI101" s="233" t="s">
        <v>63</v>
      </c>
      <c r="BJ101" s="205" t="s">
        <v>64</v>
      </c>
      <c r="BK101" s="205" t="s">
        <v>43</v>
      </c>
      <c r="BL101" s="205" t="s">
        <v>95</v>
      </c>
      <c r="BM101" s="205" t="s">
        <v>66</v>
      </c>
      <c r="BN101" s="205" t="s">
        <v>67</v>
      </c>
      <c r="BO101" s="205" t="s">
        <v>110</v>
      </c>
      <c r="BP101" s="205" t="s">
        <v>69</v>
      </c>
      <c r="BQ101" s="234" t="s">
        <v>70</v>
      </c>
      <c r="BR101" s="205" t="s">
        <v>71</v>
      </c>
      <c r="BS101" s="203"/>
      <c r="BT101" s="203"/>
      <c r="BU101" s="203"/>
      <c r="BV101" s="203"/>
      <c r="BW101" s="203"/>
      <c r="BX101" s="203"/>
      <c r="BY101" s="203"/>
      <c r="BZ101" s="203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3"/>
      <c r="CM101" s="203"/>
      <c r="CN101" s="203"/>
      <c r="CO101" s="498"/>
    </row>
    <row r="102" ht="18.75">
      <c r="A102" s="504"/>
      <c r="L102" s="205">
        <v>1</v>
      </c>
      <c r="M102" s="255">
        <f>AM85/3</f>
        <v>2.5366666666666666</v>
      </c>
      <c r="N102" s="219" t="s">
        <v>144</v>
      </c>
      <c r="O102" s="204"/>
      <c r="P102" s="204"/>
      <c r="Q102" s="204"/>
      <c r="R102" s="205" t="s">
        <v>145</v>
      </c>
      <c r="S102" s="205"/>
      <c r="T102" s="205"/>
      <c r="U102" s="235">
        <v>250</v>
      </c>
      <c r="V102" s="221">
        <f ref="V102:V107" t="shared" si="26">M102*U102</f>
        <v>634.16666666666663</v>
      </c>
      <c r="W102" s="222">
        <f ref="W102:W119" t="shared" si="27" ca="1">(V102)/$R$71</f>
        <v>0.0040364664884808043</v>
      </c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498"/>
      <c r="AU102" s="203"/>
      <c r="AV102" s="504"/>
      <c r="BG102" s="205">
        <v>1</v>
      </c>
      <c r="BH102" s="255">
        <f>CH85/3</f>
        <v>2.2766666666666668</v>
      </c>
      <c r="BI102" s="219" t="s">
        <v>144</v>
      </c>
      <c r="BJ102" s="204"/>
      <c r="BK102" s="204"/>
      <c r="BL102" s="204"/>
      <c r="BM102" s="205" t="s">
        <v>145</v>
      </c>
      <c r="BN102" s="205"/>
      <c r="BO102" s="205"/>
      <c r="BP102" s="235">
        <v>250</v>
      </c>
      <c r="BQ102" s="221">
        <f ref="BQ102:BQ116" t="shared" si="28">BH102*BP102</f>
        <v>569.16666666666674</v>
      </c>
      <c r="BR102" s="222">
        <f ref="BR102:BR119" t="shared" si="29" ca="1">(BQ102)/$R$71</f>
        <v>0.003622741933813916</v>
      </c>
      <c r="BS102" s="203"/>
      <c r="BT102" s="203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498"/>
    </row>
    <row r="103" ht="18.75">
      <c r="A103" s="504"/>
      <c r="L103" s="205">
        <v>2</v>
      </c>
      <c r="M103" s="201">
        <v>3</v>
      </c>
      <c r="N103" s="233" t="s">
        <v>137</v>
      </c>
      <c r="O103" s="205"/>
      <c r="P103" s="205"/>
      <c r="Q103" s="205"/>
      <c r="R103" s="205" t="s">
        <v>138</v>
      </c>
      <c r="S103" s="205"/>
      <c r="T103" s="205"/>
      <c r="U103" s="235">
        <v>18</v>
      </c>
      <c r="V103" s="221">
        <f t="shared" si="26"/>
        <v>54</v>
      </c>
      <c r="W103" s="222">
        <f t="shared" si="27" ca="1"/>
        <v>0.0003437096300309542</v>
      </c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498"/>
      <c r="AU103" s="203"/>
      <c r="AV103" s="504"/>
      <c r="BG103" s="205">
        <v>2</v>
      </c>
      <c r="BH103" s="201">
        <v>3</v>
      </c>
      <c r="BI103" s="233" t="s">
        <v>137</v>
      </c>
      <c r="BJ103" s="205"/>
      <c r="BK103" s="205"/>
      <c r="BL103" s="205"/>
      <c r="BM103" s="205" t="s">
        <v>138</v>
      </c>
      <c r="BN103" s="205"/>
      <c r="BO103" s="205"/>
      <c r="BP103" s="235">
        <v>18</v>
      </c>
      <c r="BQ103" s="221">
        <f t="shared" si="28"/>
        <v>54</v>
      </c>
      <c r="BR103" s="222">
        <f t="shared" si="29" ca="1"/>
        <v>0.0003437096300309542</v>
      </c>
      <c r="BS103" s="203"/>
      <c r="BT103" s="203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498"/>
    </row>
    <row r="104" ht="18.75">
      <c r="A104" s="504"/>
      <c r="L104" s="205">
        <v>3</v>
      </c>
      <c r="M104" s="218">
        <v>3</v>
      </c>
      <c r="N104" s="233" t="s">
        <v>139</v>
      </c>
      <c r="O104" s="205"/>
      <c r="P104" s="205"/>
      <c r="Q104" s="205"/>
      <c r="R104" s="205" t="s">
        <v>138</v>
      </c>
      <c r="S104" s="205"/>
      <c r="T104" s="205"/>
      <c r="U104" s="235">
        <v>18</v>
      </c>
      <c r="V104" s="221">
        <f t="shared" si="26"/>
        <v>54</v>
      </c>
      <c r="W104" s="222">
        <f t="shared" si="27" ca="1"/>
        <v>0.0003437096300309542</v>
      </c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498"/>
      <c r="AU104" s="203"/>
      <c r="AV104" s="504"/>
      <c r="BG104" s="205">
        <v>3</v>
      </c>
      <c r="BH104" s="218">
        <v>3</v>
      </c>
      <c r="BI104" s="233" t="s">
        <v>139</v>
      </c>
      <c r="BJ104" s="205"/>
      <c r="BK104" s="205"/>
      <c r="BL104" s="205"/>
      <c r="BM104" s="205" t="s">
        <v>138</v>
      </c>
      <c r="BN104" s="205"/>
      <c r="BO104" s="205"/>
      <c r="BP104" s="235">
        <v>18</v>
      </c>
      <c r="BQ104" s="221">
        <f t="shared" si="28"/>
        <v>54</v>
      </c>
      <c r="BR104" s="222">
        <f t="shared" si="29" ca="1"/>
        <v>0.0003437096300309542</v>
      </c>
      <c r="BS104" s="203"/>
      <c r="BT104" s="203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498"/>
    </row>
    <row r="105" ht="18.75">
      <c r="A105" s="504"/>
      <c r="L105" s="205">
        <v>4</v>
      </c>
      <c r="M105" s="201">
        <v>1</v>
      </c>
      <c r="N105" s="219" t="s">
        <v>140</v>
      </c>
      <c r="O105" s="204"/>
      <c r="P105" s="204"/>
      <c r="Q105" s="204"/>
      <c r="R105" s="205" t="s">
        <v>141</v>
      </c>
      <c r="S105" s="205"/>
      <c r="T105" s="205"/>
      <c r="U105" s="235">
        <v>25</v>
      </c>
      <c r="V105" s="221">
        <f t="shared" si="26"/>
        <v>25</v>
      </c>
      <c r="W105" s="222">
        <f t="shared" si="27" ca="1"/>
        <v>0.00015912482871803434</v>
      </c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498"/>
      <c r="AU105" s="203"/>
      <c r="AV105" s="504"/>
      <c r="BG105" s="205">
        <v>4</v>
      </c>
      <c r="BH105" s="201">
        <v>1</v>
      </c>
      <c r="BI105" s="219" t="s">
        <v>140</v>
      </c>
      <c r="BJ105" s="204"/>
      <c r="BK105" s="204"/>
      <c r="BL105" s="204"/>
      <c r="BM105" s="205" t="s">
        <v>141</v>
      </c>
      <c r="BN105" s="205"/>
      <c r="BO105" s="205"/>
      <c r="BP105" s="235">
        <v>25</v>
      </c>
      <c r="BQ105" s="221">
        <f t="shared" si="28"/>
        <v>25</v>
      </c>
      <c r="BR105" s="222">
        <f t="shared" si="29" ca="1"/>
        <v>0.00015912482871803434</v>
      </c>
      <c r="BS105" s="203"/>
      <c r="BT105" s="203"/>
      <c r="BU105" s="203"/>
      <c r="BV105" s="203"/>
      <c r="BW105" s="203"/>
      <c r="BX105" s="203"/>
      <c r="BY105" s="203"/>
      <c r="BZ105" s="203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3"/>
      <c r="CK105" s="203"/>
      <c r="CL105" s="203"/>
      <c r="CM105" s="203"/>
      <c r="CN105" s="203"/>
      <c r="CO105" s="498"/>
    </row>
    <row r="106" ht="18.75">
      <c r="A106" s="504"/>
      <c r="L106" s="205">
        <v>5</v>
      </c>
      <c r="M106" s="218">
        <v>1</v>
      </c>
      <c r="N106" s="219" t="s">
        <v>142</v>
      </c>
      <c r="O106" s="204"/>
      <c r="P106" s="204"/>
      <c r="Q106" s="204"/>
      <c r="R106" s="205" t="s">
        <v>141</v>
      </c>
      <c r="S106" s="205"/>
      <c r="T106" s="205"/>
      <c r="U106" s="235">
        <v>150</v>
      </c>
      <c r="V106" s="221">
        <f t="shared" si="26"/>
        <v>150</v>
      </c>
      <c r="W106" s="222">
        <f t="shared" si="27" ca="1"/>
        <v>0.00095474897230820612</v>
      </c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498"/>
      <c r="AU106" s="203"/>
      <c r="AV106" s="504"/>
      <c r="BG106" s="205">
        <v>5</v>
      </c>
      <c r="BH106" s="218">
        <v>1</v>
      </c>
      <c r="BI106" s="219" t="s">
        <v>142</v>
      </c>
      <c r="BJ106" s="204"/>
      <c r="BK106" s="204"/>
      <c r="BL106" s="204"/>
      <c r="BM106" s="205" t="s">
        <v>141</v>
      </c>
      <c r="BN106" s="205"/>
      <c r="BO106" s="205"/>
      <c r="BP106" s="235">
        <v>150</v>
      </c>
      <c r="BQ106" s="221">
        <f t="shared" si="28"/>
        <v>150</v>
      </c>
      <c r="BR106" s="222">
        <f t="shared" si="29" ca="1"/>
        <v>0.00095474897230820612</v>
      </c>
      <c r="BS106" s="203"/>
      <c r="BT106" s="203"/>
      <c r="BU106" s="203"/>
      <c r="BV106" s="203"/>
      <c r="BW106" s="203"/>
      <c r="BX106" s="203"/>
      <c r="BY106" s="203"/>
      <c r="BZ106" s="203"/>
      <c r="CA106" s="203"/>
      <c r="CB106" s="203"/>
      <c r="CC106" s="203"/>
      <c r="CD106" s="203"/>
      <c r="CE106" s="203"/>
      <c r="CF106" s="203"/>
      <c r="CG106" s="203"/>
      <c r="CH106" s="203"/>
      <c r="CI106" s="203"/>
      <c r="CJ106" s="203"/>
      <c r="CK106" s="203"/>
      <c r="CL106" s="203"/>
      <c r="CM106" s="203"/>
      <c r="CN106" s="203"/>
      <c r="CO106" s="498"/>
    </row>
    <row r="107" ht="18.75">
      <c r="A107" s="504"/>
      <c r="L107" s="205">
        <v>6</v>
      </c>
      <c r="M107" s="201">
        <v>2</v>
      </c>
      <c r="N107" s="219" t="s">
        <v>143</v>
      </c>
      <c r="O107" s="204"/>
      <c r="P107" s="204"/>
      <c r="Q107" s="204"/>
      <c r="R107" s="205" t="s">
        <v>117</v>
      </c>
      <c r="S107" s="205"/>
      <c r="T107" s="205"/>
      <c r="U107" s="235">
        <v>40</v>
      </c>
      <c r="V107" s="221">
        <f t="shared" si="26"/>
        <v>80</v>
      </c>
      <c r="W107" s="222">
        <f t="shared" si="27" ca="1"/>
        <v>0.0005091994518977099</v>
      </c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498"/>
      <c r="AU107" s="203"/>
      <c r="AV107" s="504"/>
      <c r="BG107" s="205">
        <v>6</v>
      </c>
      <c r="BH107" s="201">
        <v>2</v>
      </c>
      <c r="BI107" s="219" t="s">
        <v>143</v>
      </c>
      <c r="BJ107" s="204"/>
      <c r="BK107" s="204"/>
      <c r="BL107" s="204"/>
      <c r="BM107" s="205" t="s">
        <v>117</v>
      </c>
      <c r="BN107" s="205"/>
      <c r="BO107" s="205"/>
      <c r="BP107" s="235">
        <v>40</v>
      </c>
      <c r="BQ107" s="221">
        <f t="shared" si="28"/>
        <v>80</v>
      </c>
      <c r="BR107" s="222">
        <f t="shared" si="29" ca="1"/>
        <v>0.0005091994518977099</v>
      </c>
      <c r="BS107" s="203"/>
      <c r="BT107" s="203"/>
      <c r="BU107" s="203"/>
      <c r="BV107" s="203"/>
      <c r="BW107" s="203"/>
      <c r="BX107" s="203"/>
      <c r="BY107" s="203"/>
      <c r="BZ107" s="203"/>
      <c r="CA107" s="203"/>
      <c r="CB107" s="203"/>
      <c r="CC107" s="203"/>
      <c r="CD107" s="203"/>
      <c r="CE107" s="203"/>
      <c r="CF107" s="203"/>
      <c r="CG107" s="203"/>
      <c r="CH107" s="203"/>
      <c r="CI107" s="203"/>
      <c r="CJ107" s="203"/>
      <c r="CK107" s="203"/>
      <c r="CL107" s="203"/>
      <c r="CM107" s="203"/>
      <c r="CN107" s="203"/>
      <c r="CO107" s="498"/>
    </row>
    <row r="108" ht="18.75">
      <c r="A108" s="504"/>
      <c r="L108" s="205">
        <v>7</v>
      </c>
      <c r="M108" s="218">
        <f>ROUNDUP(AM83,0)</f>
        <v>5</v>
      </c>
      <c r="N108" s="219" t="s">
        <v>74</v>
      </c>
      <c r="O108" s="204"/>
      <c r="P108" s="204"/>
      <c r="Q108" s="204"/>
      <c r="R108" s="205"/>
      <c r="S108" s="205"/>
      <c r="T108" s="205"/>
      <c r="U108" s="235">
        <v>140</v>
      </c>
      <c r="V108" s="221">
        <f ref="V108:V116" t="shared" si="30">M108*U108</f>
        <v>700</v>
      </c>
      <c r="W108" s="253">
        <f t="shared" si="27" ca="1"/>
        <v>0.0044554952041049615</v>
      </c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498"/>
      <c r="AU108" s="203"/>
      <c r="AV108" s="504"/>
      <c r="BG108" s="205">
        <v>7</v>
      </c>
      <c r="BH108" s="218">
        <f>ROUNDUP(CH83,0)</f>
        <v>5</v>
      </c>
      <c r="BI108" s="219" t="s">
        <v>74</v>
      </c>
      <c r="BJ108" s="204"/>
      <c r="BK108" s="204"/>
      <c r="BL108" s="204"/>
      <c r="BM108" s="205"/>
      <c r="BN108" s="205"/>
      <c r="BO108" s="205"/>
      <c r="BP108" s="235">
        <v>140</v>
      </c>
      <c r="BQ108" s="221">
        <f t="shared" si="28"/>
        <v>700</v>
      </c>
      <c r="BR108" s="253">
        <f t="shared" si="29" ca="1"/>
        <v>0.0044554952041049615</v>
      </c>
      <c r="BS108" s="203"/>
      <c r="BT108" s="203"/>
      <c r="BU108" s="203"/>
      <c r="BV108" s="203"/>
      <c r="BW108" s="203"/>
      <c r="BX108" s="203"/>
      <c r="BY108" s="203"/>
      <c r="BZ108" s="203"/>
      <c r="CA108" s="203"/>
      <c r="CB108" s="203"/>
      <c r="CC108" s="203"/>
      <c r="CD108" s="203"/>
      <c r="CE108" s="203"/>
      <c r="CF108" s="203"/>
      <c r="CG108" s="203"/>
      <c r="CH108" s="203"/>
      <c r="CI108" s="203"/>
      <c r="CJ108" s="203"/>
      <c r="CK108" s="203"/>
      <c r="CL108" s="203"/>
      <c r="CM108" s="203"/>
      <c r="CN108" s="203"/>
      <c r="CO108" s="498"/>
    </row>
    <row r="109" ht="18.75">
      <c r="A109" s="504"/>
      <c r="L109" s="205">
        <v>8</v>
      </c>
      <c r="M109" s="218">
        <f ref="M109:M110" t="shared" si="31">ROUNDUP(AM84,0)</f>
        <v>6</v>
      </c>
      <c r="N109" s="219" t="s">
        <v>79</v>
      </c>
      <c r="O109" s="204"/>
      <c r="P109" s="204"/>
      <c r="Q109" s="204"/>
      <c r="R109" s="205"/>
      <c r="S109" s="205"/>
      <c r="T109" s="205"/>
      <c r="U109" s="235">
        <v>40</v>
      </c>
      <c r="V109" s="221">
        <f t="shared" si="30"/>
        <v>240</v>
      </c>
      <c r="W109" s="253">
        <f t="shared" si="27" ca="1"/>
        <v>0.0015275983556931297</v>
      </c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498"/>
      <c r="AU109" s="203"/>
      <c r="AV109" s="504"/>
      <c r="BG109" s="205">
        <v>8</v>
      </c>
      <c r="BH109" s="218">
        <f ref="BH109:BH110" t="shared" si="32">ROUNDUP(CH84,0)</f>
        <v>6</v>
      </c>
      <c r="BI109" s="219" t="s">
        <v>79</v>
      </c>
      <c r="BJ109" s="204"/>
      <c r="BK109" s="204"/>
      <c r="BL109" s="204"/>
      <c r="BM109" s="205"/>
      <c r="BN109" s="205"/>
      <c r="BO109" s="205"/>
      <c r="BP109" s="235">
        <v>40</v>
      </c>
      <c r="BQ109" s="221">
        <f t="shared" si="28"/>
        <v>240</v>
      </c>
      <c r="BR109" s="253">
        <f t="shared" si="29" ca="1"/>
        <v>0.0015275983556931297</v>
      </c>
      <c r="BS109" s="203"/>
      <c r="BT109" s="203"/>
      <c r="BU109" s="203"/>
      <c r="BV109" s="203"/>
      <c r="BW109" s="203"/>
      <c r="BX109" s="203"/>
      <c r="BY109" s="203"/>
      <c r="BZ109" s="203"/>
      <c r="CA109" s="203"/>
      <c r="CB109" s="203"/>
      <c r="CC109" s="203"/>
      <c r="CD109" s="203"/>
      <c r="CE109" s="203"/>
      <c r="CF109" s="203"/>
      <c r="CG109" s="203"/>
      <c r="CH109" s="203"/>
      <c r="CI109" s="203"/>
      <c r="CJ109" s="203"/>
      <c r="CK109" s="203"/>
      <c r="CL109" s="203"/>
      <c r="CM109" s="203"/>
      <c r="CN109" s="203"/>
      <c r="CO109" s="498"/>
    </row>
    <row r="110" ht="18.75">
      <c r="A110" s="504"/>
      <c r="L110" s="205">
        <v>9</v>
      </c>
      <c r="M110" s="218">
        <f t="shared" si="31"/>
        <v>8</v>
      </c>
      <c r="N110" s="219" t="s">
        <v>87</v>
      </c>
      <c r="O110" s="204"/>
      <c r="P110" s="204"/>
      <c r="Q110" s="204"/>
      <c r="R110" s="205"/>
      <c r="S110" s="205"/>
      <c r="T110" s="205"/>
      <c r="U110" s="235">
        <v>400</v>
      </c>
      <c r="V110" s="221">
        <f t="shared" si="30"/>
        <v>3200</v>
      </c>
      <c r="W110" s="253">
        <f t="shared" si="27" ca="1"/>
        <v>0.020367978075908396</v>
      </c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498"/>
      <c r="AU110" s="203"/>
      <c r="AV110" s="504"/>
      <c r="BG110" s="205">
        <v>9</v>
      </c>
      <c r="BH110" s="218">
        <f t="shared" si="32"/>
        <v>7</v>
      </c>
      <c r="BI110" s="219" t="s">
        <v>87</v>
      </c>
      <c r="BJ110" s="204"/>
      <c r="BK110" s="204"/>
      <c r="BL110" s="204"/>
      <c r="BM110" s="205"/>
      <c r="BN110" s="205"/>
      <c r="BO110" s="205"/>
      <c r="BP110" s="235">
        <v>400</v>
      </c>
      <c r="BQ110" s="221">
        <f t="shared" si="28"/>
        <v>2800</v>
      </c>
      <c r="BR110" s="253">
        <f t="shared" si="29" ca="1"/>
        <v>0.017821980816419846</v>
      </c>
      <c r="BS110" s="203"/>
      <c r="BT110" s="203"/>
      <c r="BU110" s="203"/>
      <c r="BV110" s="203"/>
      <c r="BW110" s="203"/>
      <c r="BX110" s="203"/>
      <c r="BY110" s="203"/>
      <c r="BZ110" s="203"/>
      <c r="CA110" s="203"/>
      <c r="CB110" s="203"/>
      <c r="CC110" s="203"/>
      <c r="CD110" s="203"/>
      <c r="CE110" s="203"/>
      <c r="CF110" s="203"/>
      <c r="CG110" s="203"/>
      <c r="CH110" s="203"/>
      <c r="CI110" s="203"/>
      <c r="CJ110" s="203"/>
      <c r="CK110" s="203"/>
      <c r="CL110" s="203"/>
      <c r="CM110" s="203"/>
      <c r="CN110" s="203"/>
      <c r="CO110" s="498"/>
    </row>
    <row r="111" ht="18.75">
      <c r="A111" s="504"/>
      <c r="L111" s="205">
        <v>10</v>
      </c>
      <c r="M111" s="218"/>
      <c r="N111" s="219"/>
      <c r="O111" s="204"/>
      <c r="P111" s="204"/>
      <c r="Q111" s="204"/>
      <c r="R111" s="205"/>
      <c r="S111" s="205"/>
      <c r="T111" s="205"/>
      <c r="U111" s="235"/>
      <c r="V111" s="221">
        <f t="shared" si="30"/>
        <v>0</v>
      </c>
      <c r="W111" s="253">
        <f t="shared" si="27" ca="1"/>
        <v>0</v>
      </c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498"/>
      <c r="AU111" s="203"/>
      <c r="AV111" s="504"/>
      <c r="BG111" s="205">
        <v>10</v>
      </c>
      <c r="BH111" s="218"/>
      <c r="BI111" s="219"/>
      <c r="BJ111" s="204"/>
      <c r="BK111" s="204"/>
      <c r="BL111" s="204"/>
      <c r="BM111" s="205"/>
      <c r="BN111" s="205"/>
      <c r="BO111" s="205"/>
      <c r="BP111" s="235"/>
      <c r="BQ111" s="221">
        <f t="shared" si="28"/>
        <v>0</v>
      </c>
      <c r="BR111" s="253">
        <f t="shared" si="29" ca="1"/>
        <v>0</v>
      </c>
      <c r="BS111" s="203"/>
      <c r="BT111" s="203"/>
      <c r="BU111" s="203"/>
      <c r="BV111" s="203"/>
      <c r="BW111" s="203"/>
      <c r="BX111" s="203"/>
      <c r="BY111" s="203"/>
      <c r="BZ111" s="203"/>
      <c r="CA111" s="203"/>
      <c r="CB111" s="203"/>
      <c r="CC111" s="203"/>
      <c r="CD111" s="203"/>
      <c r="CE111" s="203"/>
      <c r="CF111" s="203"/>
      <c r="CG111" s="203"/>
      <c r="CH111" s="203"/>
      <c r="CI111" s="203"/>
      <c r="CJ111" s="203"/>
      <c r="CK111" s="203"/>
      <c r="CL111" s="203"/>
      <c r="CM111" s="203"/>
      <c r="CN111" s="203"/>
      <c r="CO111" s="498"/>
    </row>
    <row r="112" ht="18.75">
      <c r="A112" s="504"/>
      <c r="L112" s="205">
        <v>11</v>
      </c>
      <c r="M112" s="218">
        <f>IF((تسعير!AT83="B"),(Table15880101[[#Totals],[الوزن]]+Table16627394[[#Totals],[الوزن]]),0)</f>
        <v>0</v>
      </c>
      <c r="N112" s="219" t="s">
        <v>149</v>
      </c>
      <c r="O112" s="204"/>
      <c r="P112" s="204"/>
      <c r="Q112" s="204"/>
      <c r="R112" s="205"/>
      <c r="S112" s="205"/>
      <c r="T112" s="205"/>
      <c r="U112" s="235">
        <v>20</v>
      </c>
      <c r="V112" s="221">
        <f t="shared" si="30"/>
        <v>0</v>
      </c>
      <c r="W112" s="253">
        <f t="shared" si="27" ca="1"/>
        <v>0</v>
      </c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498"/>
      <c r="AU112" s="203"/>
      <c r="AV112" s="504"/>
      <c r="BG112" s="205">
        <v>11</v>
      </c>
      <c r="BH112" s="218">
        <f>IF((تسعير!CO83="B"),(Table15880101112[[#Totals],[الوزن]]+Table16627394105[[#Totals],[الوزن]]),0)</f>
        <v>0</v>
      </c>
      <c r="BI112" s="219" t="s">
        <v>149</v>
      </c>
      <c r="BJ112" s="204"/>
      <c r="BK112" s="204"/>
      <c r="BL112" s="204"/>
      <c r="BM112" s="205"/>
      <c r="BN112" s="205"/>
      <c r="BO112" s="205"/>
      <c r="BP112" s="235">
        <v>20</v>
      </c>
      <c r="BQ112" s="221">
        <f t="shared" si="28"/>
        <v>0</v>
      </c>
      <c r="BR112" s="253">
        <f t="shared" si="29" ca="1"/>
        <v>0</v>
      </c>
      <c r="BS112" s="203"/>
      <c r="BT112" s="203"/>
      <c r="BU112" s="203"/>
      <c r="BV112" s="203"/>
      <c r="BW112" s="203"/>
      <c r="BX112" s="203"/>
      <c r="BY112" s="203"/>
      <c r="BZ112" s="203"/>
      <c r="CA112" s="203"/>
      <c r="CB112" s="203"/>
      <c r="CC112" s="203"/>
      <c r="CD112" s="203"/>
      <c r="CE112" s="203"/>
      <c r="CF112" s="203"/>
      <c r="CG112" s="203"/>
      <c r="CH112" s="203"/>
      <c r="CI112" s="203"/>
      <c r="CJ112" s="203"/>
      <c r="CK112" s="203"/>
      <c r="CL112" s="203"/>
      <c r="CM112" s="203"/>
      <c r="CN112" s="203"/>
      <c r="CO112" s="498"/>
    </row>
    <row r="113" ht="18.75">
      <c r="A113" s="504"/>
      <c r="L113" s="205">
        <v>12</v>
      </c>
      <c r="M113" s="218">
        <f>IF(AND((AM88&gt;0),(AM88&lt;=5)),5,IF(AND((AM88&gt;5),(AM88&lt;=10)),10,IF(AND((AM88&gt;10),(AM88&lt;=15)),15,IF(AND((AM88&gt;15),(AM88&lt;=20)),20,IF(AND((AM88&gt;20),(AM88&lt;=25)),25,IF(AND((AM88&gt;25),(AM88&lt;=30)),30,IF(AND((AM88&gt;30),(AM88&lt;=35)),35,IF(AND((AM88&gt;35),(AM88&lt;=40)),40,IF(AND((AM88&gt;40),(AM88&lt;=45)),45,IF(AND((AM88&gt;45),(AM88&lt;=50)),50,IF(AND((AM88&gt;50),(AM88&lt;=55)),55,IF(AND((AM88&gt;55),(AM88&lt;=60)),60,0))))))))))))</f>
        <v>0</v>
      </c>
      <c r="N113" s="219" t="s">
        <v>94</v>
      </c>
      <c r="O113" s="204"/>
      <c r="P113" s="204"/>
      <c r="Q113" s="204"/>
      <c r="R113" s="205" t="s">
        <v>150</v>
      </c>
      <c r="S113" s="205"/>
      <c r="T113" s="205"/>
      <c r="U113" s="235">
        <f>Sheet2!B18</f>
        <v>300</v>
      </c>
      <c r="V113" s="221">
        <f t="shared" si="30"/>
        <v>0</v>
      </c>
      <c r="W113" s="253">
        <f t="shared" si="27" ca="1"/>
        <v>0</v>
      </c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498"/>
      <c r="AU113" s="203"/>
      <c r="AV113" s="504"/>
      <c r="BG113" s="205">
        <v>12</v>
      </c>
      <c r="BH113" s="218">
        <f>IF(AND((CH88&gt;0),(CH88&lt;=5)),5,IF(AND((CH88&gt;5),(CH88&lt;=10)),10,IF(AND((CH88&gt;10),(CH88&lt;=15)),15,IF(AND((CH88&gt;15),(CH88&lt;=20)),20,IF(AND((CH88&gt;20),(CH88&lt;=25)),25,IF(AND((CH88&gt;25),(CH88&lt;=30)),30,IF(AND((CH88&gt;30),(CH88&lt;=35)),35,IF(AND((CH88&gt;35),(CH88&lt;=40)),40,IF(AND((CH88&gt;40),(CH88&lt;=45)),45,IF(AND((CH88&gt;45),(CH88&lt;=50)),50,IF(AND((CH88&gt;50),(CH88&lt;=55)),55,IF(AND((CH88&gt;55),(CH88&lt;=60)),60,0))))))))))))</f>
        <v>0</v>
      </c>
      <c r="BI113" s="219" t="s">
        <v>94</v>
      </c>
      <c r="BJ113" s="204"/>
      <c r="BK113" s="204"/>
      <c r="BL113" s="204"/>
      <c r="BM113" s="205" t="s">
        <v>150</v>
      </c>
      <c r="BN113" s="205"/>
      <c r="BO113" s="205"/>
      <c r="BP113" s="235">
        <f>Sheet2!AW18</f>
        <v>0</v>
      </c>
      <c r="BQ113" s="221">
        <f t="shared" si="28"/>
        <v>0</v>
      </c>
      <c r="BR113" s="253">
        <f t="shared" si="29" ca="1"/>
        <v>0</v>
      </c>
      <c r="BS113" s="203"/>
      <c r="BT113" s="203"/>
      <c r="BU113" s="203"/>
      <c r="BV113" s="203"/>
      <c r="BW113" s="203"/>
      <c r="BX113" s="203"/>
      <c r="BY113" s="203"/>
      <c r="BZ113" s="203"/>
      <c r="CA113" s="203"/>
      <c r="CB113" s="203"/>
      <c r="CC113" s="203"/>
      <c r="CD113" s="203"/>
      <c r="CE113" s="203"/>
      <c r="CF113" s="203"/>
      <c r="CG113" s="203"/>
      <c r="CH113" s="203"/>
      <c r="CI113" s="203"/>
      <c r="CJ113" s="203"/>
      <c r="CK113" s="203"/>
      <c r="CL113" s="203"/>
      <c r="CM113" s="203"/>
      <c r="CN113" s="203"/>
      <c r="CO113" s="498"/>
    </row>
    <row r="114" ht="18.75">
      <c r="A114" s="504"/>
      <c r="L114" s="205">
        <v>13</v>
      </c>
      <c r="M114" s="218">
        <f>IF(AND((AM89&gt;0),(AM89&lt;=5)),5,IF(AND((AM89&gt;5),(AM89&lt;=10)),10,IF(AND((AM89&gt;10),(AM89&lt;=15)),15,IF(AND((AM89&gt;15),(AM89&lt;=20)),20,IF(AND((AM89&gt;20),(AM89&lt;=25)),25,IF(AND((AM89&gt;25),(AM89&lt;=30)),30,IF(AND((AM89&gt;30),(AM89&lt;=35)),35,IF(AND((AM89&gt;35),(AM89&lt;=40)),40,IF(AND((AM89&gt;40),(AM89&lt;=45)),45,IF(AND((AM89&gt;45),(AM89&lt;=50)),50,IF(AND((AM89&gt;50),(AM89&lt;=55)),55,IF(AND((AM89&gt;55),(AM89&lt;=60)),60,0))))))))))))</f>
        <v>0</v>
      </c>
      <c r="N114" s="233" t="s">
        <v>97</v>
      </c>
      <c r="O114" s="204"/>
      <c r="P114" s="204"/>
      <c r="Q114" s="204"/>
      <c r="R114" s="233" t="s">
        <v>151</v>
      </c>
      <c r="S114" s="205"/>
      <c r="T114" s="205"/>
      <c r="U114" s="235">
        <f>Sheet2!B19</f>
        <v>250</v>
      </c>
      <c r="V114" s="221">
        <f t="shared" si="30"/>
        <v>0</v>
      </c>
      <c r="W114" s="253">
        <f t="shared" si="27" ca="1"/>
        <v>0</v>
      </c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498"/>
      <c r="AU114" s="203"/>
      <c r="AV114" s="504"/>
      <c r="BG114" s="205">
        <v>13</v>
      </c>
      <c r="BH114" s="218">
        <f>IF(AND((CH89&gt;0),(CH89&lt;=5)),5,IF(AND((CH89&gt;5),(CH89&lt;=10)),10,IF(AND((CH89&gt;10),(CH89&lt;=15)),15,IF(AND((CH89&gt;15),(CH89&lt;=20)),20,IF(AND((CH89&gt;20),(CH89&lt;=25)),25,IF(AND((CH89&gt;25),(CH89&lt;=30)),30,IF(AND((CH89&gt;30),(CH89&lt;=35)),35,IF(AND((CH89&gt;35),(CH89&lt;=40)),40,IF(AND((CH89&gt;40),(CH89&lt;=45)),45,IF(AND((CH89&gt;45),(CH89&lt;=50)),50,IF(AND((CH89&gt;50),(CH89&lt;=55)),55,IF(AND((CH89&gt;55),(CH89&lt;=60)),60,0))))))))))))</f>
        <v>0</v>
      </c>
      <c r="BI114" s="233" t="s">
        <v>97</v>
      </c>
      <c r="BJ114" s="204"/>
      <c r="BK114" s="204"/>
      <c r="BL114" s="204"/>
      <c r="BM114" s="233" t="s">
        <v>151</v>
      </c>
      <c r="BN114" s="205"/>
      <c r="BO114" s="205"/>
      <c r="BP114" s="235">
        <f>Sheet2!AW19</f>
        <v>0</v>
      </c>
      <c r="BQ114" s="221">
        <f t="shared" si="28"/>
        <v>0</v>
      </c>
      <c r="BR114" s="253">
        <f t="shared" si="29" ca="1"/>
        <v>0</v>
      </c>
      <c r="BS114" s="203"/>
      <c r="BT114" s="203"/>
      <c r="BU114" s="203"/>
      <c r="BV114" s="203"/>
      <c r="BW114" s="203"/>
      <c r="BX114" s="203"/>
      <c r="BY114" s="203"/>
      <c r="BZ114" s="203"/>
      <c r="CA114" s="203"/>
      <c r="CB114" s="203"/>
      <c r="CC114" s="203"/>
      <c r="CD114" s="203"/>
      <c r="CE114" s="203"/>
      <c r="CF114" s="203"/>
      <c r="CG114" s="203"/>
      <c r="CH114" s="203"/>
      <c r="CI114" s="203"/>
      <c r="CJ114" s="203"/>
      <c r="CK114" s="203"/>
      <c r="CL114" s="203"/>
      <c r="CM114" s="203"/>
      <c r="CN114" s="203"/>
      <c r="CO114" s="498"/>
    </row>
    <row r="115" ht="18.75">
      <c r="A115" s="504"/>
      <c r="L115" s="205">
        <v>14</v>
      </c>
      <c r="M115" s="218">
        <f>IF(AND((AM90&gt;0),(AM90&lt;=5)),5,IF(AND((AM90&gt;5),(AM90&lt;=10)),10,IF(AND((AM90&gt;10),(AM90&lt;=15)),15,IF(AND((AM90&gt;15),(AM90&lt;=20)),20,IF(AND((AM90&gt;20),(AM90&lt;=25)),25,IF(AND((AM90&gt;25),(AM90&lt;=30)),30,IF(AND((AM90&gt;30),(AM90&lt;=35)),35,IF(AND((AM90&gt;35),(AM90&lt;=40)),40,IF(AND((AM90&gt;40),(AM90&lt;=45)),45,IF(AND((AM90&gt;45),(AM90&lt;=50)),50,IF(AND((AM90&gt;50),(AM90&lt;=55)),55,IF(AND((AM90&gt;55),(AM90&lt;=60)),60,0))))))))))))</f>
        <v>0</v>
      </c>
      <c r="N115" s="233" t="s">
        <v>101</v>
      </c>
      <c r="O115" s="204"/>
      <c r="P115" s="204"/>
      <c r="Q115" s="204"/>
      <c r="R115" s="233" t="s">
        <v>152</v>
      </c>
      <c r="S115" s="205"/>
      <c r="T115" s="205"/>
      <c r="U115" s="235">
        <f>Sheet2!B20</f>
        <v>375</v>
      </c>
      <c r="V115" s="221">
        <f t="shared" si="30"/>
        <v>0</v>
      </c>
      <c r="W115" s="253">
        <f t="shared" si="27" ca="1"/>
        <v>0</v>
      </c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498"/>
      <c r="AU115" s="203"/>
      <c r="AV115" s="504"/>
      <c r="BG115" s="205">
        <v>14</v>
      </c>
      <c r="BH115" s="218">
        <f>IF(AND((CH90&gt;0),(CH90&lt;=5)),5,IF(AND((CH90&gt;5),(CH90&lt;=10)),10,IF(AND((CH90&gt;10),(CH90&lt;=15)),15,IF(AND((CH90&gt;15),(CH90&lt;=20)),20,IF(AND((CH90&gt;20),(CH90&lt;=25)),25,IF(AND((CH90&gt;25),(CH90&lt;=30)),30,IF(AND((CH90&gt;30),(CH90&lt;=35)),35,IF(AND((CH90&gt;35),(CH90&lt;=40)),40,IF(AND((CH90&gt;40),(CH90&lt;=45)),45,IF(AND((CH90&gt;45),(CH90&lt;=50)),50,IF(AND((CH90&gt;50),(CH90&lt;=55)),55,IF(AND((CH90&gt;55),(CH90&lt;=60)),60,0))))))))))))</f>
        <v>0</v>
      </c>
      <c r="BI115" s="233" t="s">
        <v>101</v>
      </c>
      <c r="BJ115" s="204"/>
      <c r="BK115" s="204"/>
      <c r="BL115" s="204"/>
      <c r="BM115" s="233" t="s">
        <v>152</v>
      </c>
      <c r="BN115" s="205"/>
      <c r="BO115" s="205"/>
      <c r="BP115" s="235">
        <f>Sheet2!AW20</f>
        <v>0</v>
      </c>
      <c r="BQ115" s="221">
        <f t="shared" si="28"/>
        <v>0</v>
      </c>
      <c r="BR115" s="253">
        <f t="shared" si="29" ca="1"/>
        <v>0</v>
      </c>
      <c r="BS115" s="203"/>
      <c r="BT115" s="203"/>
      <c r="BU115" s="203"/>
      <c r="BV115" s="203"/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3"/>
      <c r="CG115" s="203"/>
      <c r="CH115" s="203"/>
      <c r="CI115" s="203"/>
      <c r="CJ115" s="203"/>
      <c r="CK115" s="203"/>
      <c r="CL115" s="203"/>
      <c r="CM115" s="203"/>
      <c r="CN115" s="203"/>
      <c r="CO115" s="498"/>
    </row>
    <row r="116" ht="18.75">
      <c r="A116" s="504"/>
      <c r="L116" s="205">
        <v>15</v>
      </c>
      <c r="M116" s="218">
        <f>IF(AND((AM91&gt;0),(AM91&lt;=5)),5,IF(AND((AM91&gt;5),(AM91&lt;=10)),10,IF(AND((AM91&gt;10),(AM91&lt;=15)),15,IF(AND((AM91&gt;15),(AM91&lt;=20)),20,IF(AND((AM91&gt;20),(AM91&lt;=25)),25,IF(AND((AM91&gt;25),(AM91&lt;=30)),30,IF(AND((AM91&gt;30),(AM91&lt;=35)),35,IF(AND((AM91&gt;35),(AM91&lt;=40)),40,IF(AND((AM91&gt;40),(AM91&lt;=45)),45,IF(AND((AM91&gt;45),(AM91&lt;=50)),50,IF(AND((AM91&gt;50),(AM91&lt;=55)),55,IF(AND((AM91&gt;55),(AM91&lt;=60)),60,0))))))))))))</f>
        <v>0</v>
      </c>
      <c r="N116" s="233" t="s">
        <v>104</v>
      </c>
      <c r="O116" s="204"/>
      <c r="P116" s="204"/>
      <c r="Q116" s="204"/>
      <c r="R116" s="233" t="s">
        <v>152</v>
      </c>
      <c r="S116" s="205"/>
      <c r="T116" s="205"/>
      <c r="U116" s="235">
        <f>Sheet2!B21</f>
        <v>455</v>
      </c>
      <c r="V116" s="221">
        <f t="shared" si="30"/>
        <v>0</v>
      </c>
      <c r="W116" s="253">
        <f t="shared" si="27" ca="1"/>
        <v>0</v>
      </c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498"/>
      <c r="AU116" s="203"/>
      <c r="AV116" s="504"/>
      <c r="BG116" s="205">
        <v>15</v>
      </c>
      <c r="BH116" s="218">
        <f>IF(AND((CH91&gt;0),(CH91&lt;=5)),5,IF(AND((CH91&gt;5),(CH91&lt;=10)),10,IF(AND((CH91&gt;10),(CH91&lt;=15)),15,IF(AND((CH91&gt;15),(CH91&lt;=20)),20,IF(AND((CH91&gt;20),(CH91&lt;=25)),25,IF(AND((CH91&gt;25),(CH91&lt;=30)),30,IF(AND((CH91&gt;30),(CH91&lt;=35)),35,IF(AND((CH91&gt;35),(CH91&lt;=40)),40,IF(AND((CH91&gt;40),(CH91&lt;=45)),45,IF(AND((CH91&gt;45),(CH91&lt;=50)),50,IF(AND((CH91&gt;50),(CH91&lt;=55)),55,IF(AND((CH91&gt;55),(CH91&lt;=60)),60,0))))))))))))</f>
        <v>0</v>
      </c>
      <c r="BI116" s="233" t="s">
        <v>104</v>
      </c>
      <c r="BJ116" s="204"/>
      <c r="BK116" s="204"/>
      <c r="BL116" s="204"/>
      <c r="BM116" s="233" t="s">
        <v>152</v>
      </c>
      <c r="BN116" s="205"/>
      <c r="BO116" s="205"/>
      <c r="BP116" s="235">
        <f>Sheet2!AW21</f>
        <v>0</v>
      </c>
      <c r="BQ116" s="221">
        <f t="shared" si="28"/>
        <v>0</v>
      </c>
      <c r="BR116" s="253">
        <f t="shared" si="29" ca="1"/>
        <v>0</v>
      </c>
      <c r="BS116" s="203"/>
      <c r="BT116" s="203"/>
      <c r="BU116" s="203"/>
      <c r="BV116" s="203"/>
      <c r="BW116" s="203"/>
      <c r="BX116" s="203"/>
      <c r="BY116" s="203"/>
      <c r="BZ116" s="203"/>
      <c r="CA116" s="203"/>
      <c r="CB116" s="203"/>
      <c r="CC116" s="203"/>
      <c r="CD116" s="203"/>
      <c r="CE116" s="203"/>
      <c r="CF116" s="203"/>
      <c r="CG116" s="203"/>
      <c r="CH116" s="203"/>
      <c r="CI116" s="203"/>
      <c r="CJ116" s="203"/>
      <c r="CK116" s="203"/>
      <c r="CL116" s="203"/>
      <c r="CM116" s="203"/>
      <c r="CN116" s="203"/>
      <c r="CO116" s="498"/>
    </row>
    <row r="117" ht="18.75">
      <c r="A117" s="504"/>
      <c r="L117" s="205">
        <v>16</v>
      </c>
      <c r="M117" s="218"/>
      <c r="N117" s="233" t="s">
        <v>106</v>
      </c>
      <c r="O117" s="204"/>
      <c r="P117" s="204"/>
      <c r="Q117" s="204"/>
      <c r="R117" s="233" t="s">
        <v>309</v>
      </c>
      <c r="S117" s="205"/>
      <c r="T117" s="205"/>
      <c r="U117" s="527"/>
      <c r="V117" s="221">
        <f>M117*U118</f>
        <v>0</v>
      </c>
      <c r="W117" s="253">
        <f t="shared" si="27" ca="1"/>
        <v>0</v>
      </c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498"/>
      <c r="AU117" s="203"/>
      <c r="AV117" s="504"/>
      <c r="BG117" s="205">
        <v>16</v>
      </c>
      <c r="BH117" s="218"/>
      <c r="BI117" s="233" t="s">
        <v>106</v>
      </c>
      <c r="BJ117" s="204"/>
      <c r="BK117" s="204"/>
      <c r="BL117" s="204"/>
      <c r="BM117" s="233" t="s">
        <v>309</v>
      </c>
      <c r="BN117" s="205"/>
      <c r="BO117" s="205"/>
      <c r="BP117" s="527"/>
      <c r="BQ117" s="221">
        <f>BH117*BP118</f>
        <v>0</v>
      </c>
      <c r="BR117" s="253">
        <f t="shared" si="29" ca="1"/>
        <v>0</v>
      </c>
      <c r="BS117" s="203"/>
      <c r="BT117" s="203"/>
      <c r="BU117" s="203"/>
      <c r="BV117" s="203"/>
      <c r="BW117" s="203"/>
      <c r="BX117" s="203"/>
      <c r="BY117" s="203"/>
      <c r="BZ117" s="203"/>
      <c r="CA117" s="203"/>
      <c r="CB117" s="203"/>
      <c r="CC117" s="203"/>
      <c r="CD117" s="203"/>
      <c r="CE117" s="203"/>
      <c r="CF117" s="203"/>
      <c r="CG117" s="203"/>
      <c r="CH117" s="203"/>
      <c r="CI117" s="203"/>
      <c r="CJ117" s="203"/>
      <c r="CK117" s="203"/>
      <c r="CL117" s="203"/>
      <c r="CM117" s="203"/>
      <c r="CN117" s="203"/>
      <c r="CO117" s="498"/>
    </row>
    <row r="118" ht="18.75">
      <c r="A118" s="504"/>
      <c r="L118" s="205">
        <v>17</v>
      </c>
      <c r="M118" s="218">
        <f>IF(AND((AM93&gt;0),(AM93&lt;=5)),5,IF(AND((AM93&gt;5),(AM93&lt;=10)),10,IF(AND((AM93&gt;10),(AM93&lt;=15)),15,IF(AND((AM93&gt;15),(AM93&lt;=20)),20,IF(AND((AM93&gt;20),(AM93&lt;=25)),25,IF(AND((AM93&gt;25),(AM93&lt;=30)),30,IF(AND((AM93&gt;30),(AM93&lt;=35)),35,IF(AND((AM93&gt;35),(AM93&lt;=40)),40,IF(AND((AM93&gt;40),(AM93&lt;=45)),45,IF(AND((AM93&gt;45),(AM93&lt;=50)),50,IF(AND((AM93&gt;50),(AM93&lt;=55)),55,IF(AND((AM93&gt;55),(AM93&lt;=60)),60,0))))))))))))</f>
        <v>0</v>
      </c>
      <c r="N118" s="233" t="s">
        <v>109</v>
      </c>
      <c r="O118" s="204"/>
      <c r="P118" s="204"/>
      <c r="Q118" s="204"/>
      <c r="R118" s="233" t="s">
        <v>153</v>
      </c>
      <c r="S118" s="205"/>
      <c r="T118" s="205"/>
      <c r="U118" s="235">
        <f>Sheet2!B22</f>
        <v>135</v>
      </c>
      <c r="V118" s="221">
        <f>M118*U119</f>
        <v>0</v>
      </c>
      <c r="W118" s="253">
        <f t="shared" si="27" ca="1"/>
        <v>0</v>
      </c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498"/>
      <c r="AU118" s="203"/>
      <c r="AV118" s="504"/>
      <c r="BG118" s="205">
        <v>17</v>
      </c>
      <c r="BH118" s="218">
        <f>IF(AND((CH93&gt;0),(CH93&lt;=5)),5,IF(AND((CH93&gt;5),(CH93&lt;=10)),10,IF(AND((CH93&gt;10),(CH93&lt;=15)),15,IF(AND((CH93&gt;15),(CH93&lt;=20)),20,IF(AND((CH93&gt;20),(CH93&lt;=25)),25,IF(AND((CH93&gt;25),(CH93&lt;=30)),30,IF(AND((CH93&gt;30),(CH93&lt;=35)),35,IF(AND((CH93&gt;35),(CH93&lt;=40)),40,IF(AND((CH93&gt;40),(CH93&lt;=45)),45,IF(AND((CH93&gt;45),(CH93&lt;=50)),50,IF(AND((CH93&gt;50),(CH93&lt;=55)),55,IF(AND((CH93&gt;55),(CH93&lt;=60)),60,0))))))))))))</f>
        <v>0</v>
      </c>
      <c r="BI118" s="233" t="s">
        <v>109</v>
      </c>
      <c r="BJ118" s="204"/>
      <c r="BK118" s="204"/>
      <c r="BL118" s="204"/>
      <c r="BM118" s="233" t="s">
        <v>153</v>
      </c>
      <c r="BN118" s="205"/>
      <c r="BO118" s="205"/>
      <c r="BP118" s="235">
        <f>Sheet2!AW22</f>
        <v>0</v>
      </c>
      <c r="BQ118" s="221">
        <f>BH118*BP119</f>
        <v>0</v>
      </c>
      <c r="BR118" s="253">
        <f t="shared" si="29" ca="1"/>
        <v>0</v>
      </c>
      <c r="BS118" s="203"/>
      <c r="BT118" s="203"/>
      <c r="BU118" s="203"/>
      <c r="BV118" s="203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3"/>
      <c r="CG118" s="203"/>
      <c r="CH118" s="203"/>
      <c r="CI118" s="203"/>
      <c r="CJ118" s="203"/>
      <c r="CK118" s="203"/>
      <c r="CL118" s="203"/>
      <c r="CM118" s="203"/>
      <c r="CN118" s="203"/>
      <c r="CO118" s="498"/>
    </row>
    <row r="119" ht="18.75">
      <c r="A119" s="504"/>
      <c r="L119" s="205">
        <v>18</v>
      </c>
      <c r="M119" s="218">
        <f>IF(AND((AM94&gt;0),(AM94&lt;=5)),5,IF(AND((AM94&gt;5),(AM94&lt;=10)),10,IF(AND((AM94&gt;10),(AM94&lt;=15)),15,IF(AND((AM94&gt;15),(AM94&lt;=20)),20,IF(AND((AM94&gt;20),(AM94&lt;=25)),25,IF(AND((AM94&gt;25),(AM94&lt;=30)),30,IF(AND((AM94&gt;30),(AM94&lt;=35)),35,IF(AND((AM94&gt;35),(AM94&lt;=40)),40,IF(AND((AM94&gt;40),(AM94&lt;=45)),45,IF(AND((AM94&gt;45),(AM94&lt;=50)),50,IF(AND((AM94&gt;50),(AM94&lt;=55)),55,IF(AND((AM94&gt;55),(AM94&lt;=60)),60,0))))))))))))</f>
        <v>0</v>
      </c>
      <c r="N119" s="233" t="s">
        <v>112</v>
      </c>
      <c r="O119" s="204"/>
      <c r="P119" s="204"/>
      <c r="Q119" s="204"/>
      <c r="R119" s="233" t="s">
        <v>153</v>
      </c>
      <c r="S119" s="205"/>
      <c r="T119" s="205"/>
      <c r="U119" s="235">
        <f>Sheet2!B23</f>
        <v>130</v>
      </c>
      <c r="V119" s="221">
        <f>M119*U120</f>
        <v>0</v>
      </c>
      <c r="W119" s="253">
        <f t="shared" si="27" ca="1"/>
        <v>0</v>
      </c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498"/>
      <c r="AU119" s="203"/>
      <c r="AV119" s="504"/>
      <c r="BG119" s="205">
        <v>18</v>
      </c>
      <c r="BH119" s="218">
        <f>IF(AND((CH94&gt;0),(CH94&lt;=5)),5,IF(AND((CH94&gt;5),(CH94&lt;=10)),10,IF(AND((CH94&gt;10),(CH94&lt;=15)),15,IF(AND((CH94&gt;15),(CH94&lt;=20)),20,IF(AND((CH94&gt;20),(CH94&lt;=25)),25,IF(AND((CH94&gt;25),(CH94&lt;=30)),30,IF(AND((CH94&gt;30),(CH94&lt;=35)),35,IF(AND((CH94&gt;35),(CH94&lt;=40)),40,IF(AND((CH94&gt;40),(CH94&lt;=45)),45,IF(AND((CH94&gt;45),(CH94&lt;=50)),50,IF(AND((CH94&gt;50),(CH94&lt;=55)),55,IF(AND((CH94&gt;55),(CH94&lt;=60)),60,0))))))))))))</f>
        <v>0</v>
      </c>
      <c r="BI119" s="233" t="s">
        <v>112</v>
      </c>
      <c r="BJ119" s="204"/>
      <c r="BK119" s="204"/>
      <c r="BL119" s="204"/>
      <c r="BM119" s="233" t="s">
        <v>153</v>
      </c>
      <c r="BN119" s="205"/>
      <c r="BO119" s="205"/>
      <c r="BP119" s="235">
        <f>Sheet2!AW23</f>
        <v>0</v>
      </c>
      <c r="BQ119" s="221">
        <f>BH119*BP120</f>
        <v>0</v>
      </c>
      <c r="BR119" s="253">
        <f t="shared" si="29" ca="1"/>
        <v>0</v>
      </c>
      <c r="BS119" s="203"/>
      <c r="BT119" s="203"/>
      <c r="BU119" s="203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203"/>
      <c r="CG119" s="203"/>
      <c r="CH119" s="203"/>
      <c r="CI119" s="203"/>
      <c r="CJ119" s="203"/>
      <c r="CK119" s="203"/>
      <c r="CL119" s="203"/>
      <c r="CM119" s="203"/>
      <c r="CN119" s="203"/>
      <c r="CO119" s="498"/>
    </row>
    <row r="120" ht="18.75">
      <c r="A120" s="504"/>
      <c r="L120" s="205" t="s">
        <v>88</v>
      </c>
      <c r="M120" s="218"/>
      <c r="N120" s="219" t="s">
        <v>88</v>
      </c>
      <c r="O120" s="204"/>
      <c r="P120" s="204"/>
      <c r="Q120" s="204"/>
      <c r="R120" s="205" t="s">
        <v>154</v>
      </c>
      <c r="S120" s="205"/>
      <c r="T120" s="205"/>
      <c r="U120" s="226"/>
      <c r="V120" s="221">
        <f>SUBTOTAL(109,Table13597192[اجمالي])</f>
        <v>5137.1666666666661</v>
      </c>
      <c r="W120" s="243">
        <f>Table13597192[[#Totals],[اجمالي]]/$R$71</f>
        <v>0.032698030637173151</v>
      </c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498"/>
      <c r="AU120" s="203"/>
      <c r="AV120" s="504"/>
      <c r="BG120" s="205" t="s">
        <v>88</v>
      </c>
      <c r="BH120" s="218"/>
      <c r="BI120" s="219" t="s">
        <v>88</v>
      </c>
      <c r="BJ120" s="204"/>
      <c r="BK120" s="204"/>
      <c r="BL120" s="204"/>
      <c r="BM120" s="205" t="s">
        <v>154</v>
      </c>
      <c r="BN120" s="205"/>
      <c r="BO120" s="205"/>
      <c r="BP120" s="226"/>
      <c r="BQ120" s="221">
        <f>SUBTOTAL(109,Table13597192103[اجمالي])</f>
        <v>4672.166666666667</v>
      </c>
      <c r="BR120" s="243">
        <f>Table13597192103[[#Totals],[اجمالي]]/$R$71</f>
        <v>0.029738308823017714</v>
      </c>
      <c r="BS120" s="203"/>
      <c r="BT120" s="203"/>
      <c r="BU120" s="203"/>
      <c r="BV120" s="203"/>
      <c r="BW120" s="203"/>
      <c r="BX120" s="203"/>
      <c r="BY120" s="203"/>
      <c r="BZ120" s="203"/>
      <c r="CA120" s="203"/>
      <c r="CB120" s="203"/>
      <c r="CC120" s="203"/>
      <c r="CD120" s="203"/>
      <c r="CE120" s="203"/>
      <c r="CF120" s="203"/>
      <c r="CG120" s="203"/>
      <c r="CH120" s="203"/>
      <c r="CI120" s="203"/>
      <c r="CJ120" s="203"/>
      <c r="CK120" s="203"/>
      <c r="CL120" s="203"/>
      <c r="CM120" s="203"/>
      <c r="CN120" s="203"/>
      <c r="CO120" s="498"/>
    </row>
    <row r="121" ht="18.75">
      <c r="A121" s="504"/>
      <c r="L121" s="205"/>
      <c r="M121" s="218"/>
      <c r="N121" s="219"/>
      <c r="O121" s="204"/>
      <c r="P121" s="204"/>
      <c r="Q121" s="204"/>
      <c r="R121" s="205"/>
      <c r="S121" s="205"/>
      <c r="T121" s="205"/>
      <c r="U121" s="226"/>
      <c r="V121" s="221"/>
      <c r="W121" s="24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498"/>
      <c r="AU121" s="203"/>
      <c r="AV121" s="504"/>
      <c r="BG121" s="205"/>
      <c r="BH121" s="218"/>
      <c r="BI121" s="219"/>
      <c r="BJ121" s="204"/>
      <c r="BK121" s="204"/>
      <c r="BL121" s="204"/>
      <c r="BM121" s="205"/>
      <c r="BN121" s="205"/>
      <c r="BO121" s="205"/>
      <c r="BP121" s="226"/>
      <c r="BQ121" s="221"/>
      <c r="BR121" s="243"/>
      <c r="BS121" s="203"/>
      <c r="BT121" s="203"/>
      <c r="BU121" s="203"/>
      <c r="BV121" s="203"/>
      <c r="BW121" s="203"/>
      <c r="BX121" s="203"/>
      <c r="BY121" s="203"/>
      <c r="BZ121" s="203"/>
      <c r="CA121" s="203"/>
      <c r="CB121" s="203"/>
      <c r="CC121" s="203"/>
      <c r="CD121" s="203"/>
      <c r="CE121" s="203"/>
      <c r="CF121" s="203"/>
      <c r="CG121" s="203"/>
      <c r="CH121" s="203"/>
      <c r="CI121" s="203"/>
      <c r="CJ121" s="203"/>
      <c r="CK121" s="203"/>
      <c r="CL121" s="203"/>
      <c r="CM121" s="203"/>
      <c r="CN121" s="203"/>
      <c r="CO121" s="498"/>
    </row>
    <row r="122" ht="18.75">
      <c r="A122" s="504"/>
      <c r="L122" s="203"/>
      <c r="M122" s="203"/>
      <c r="N122" s="231"/>
      <c r="O122" s="629" t="s">
        <v>310</v>
      </c>
      <c r="P122" s="629"/>
      <c r="Q122" s="629"/>
      <c r="R122" s="629"/>
      <c r="S122" s="629"/>
      <c r="T122" s="629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498"/>
      <c r="AU122" s="203"/>
      <c r="AV122" s="504"/>
      <c r="BG122" s="203"/>
      <c r="BH122" s="203"/>
      <c r="BI122" s="231"/>
      <c r="BJ122" s="629" t="s">
        <v>310</v>
      </c>
      <c r="BK122" s="629"/>
      <c r="BL122" s="629"/>
      <c r="BM122" s="629"/>
      <c r="BN122" s="629"/>
      <c r="BO122" s="629"/>
      <c r="BP122" s="203"/>
      <c r="BQ122" s="203"/>
      <c r="BR122" s="203"/>
      <c r="BS122" s="203"/>
      <c r="BT122" s="203"/>
      <c r="BU122" s="203"/>
      <c r="BV122" s="203"/>
      <c r="BW122" s="203"/>
      <c r="BX122" s="203"/>
      <c r="BY122" s="203"/>
      <c r="BZ122" s="203"/>
      <c r="CA122" s="203"/>
      <c r="CB122" s="203"/>
      <c r="CC122" s="203"/>
      <c r="CD122" s="203"/>
      <c r="CE122" s="203"/>
      <c r="CF122" s="203"/>
      <c r="CG122" s="203"/>
      <c r="CH122" s="203"/>
      <c r="CI122" s="203"/>
      <c r="CJ122" s="203"/>
      <c r="CK122" s="203"/>
      <c r="CL122" s="203"/>
      <c r="CM122" s="203"/>
      <c r="CN122" s="203"/>
      <c r="CO122" s="498"/>
    </row>
    <row r="123" ht="18.75">
      <c r="A123" s="504"/>
      <c r="L123" s="205" t="s">
        <v>61</v>
      </c>
      <c r="M123" s="205" t="s">
        <v>62</v>
      </c>
      <c r="N123" s="233" t="s">
        <v>63</v>
      </c>
      <c r="O123" s="205" t="s">
        <v>64</v>
      </c>
      <c r="P123" s="205" t="s">
        <v>43</v>
      </c>
      <c r="Q123" s="205" t="s">
        <v>95</v>
      </c>
      <c r="R123" s="205" t="s">
        <v>66</v>
      </c>
      <c r="S123" s="205" t="s">
        <v>67</v>
      </c>
      <c r="T123" s="205" t="s">
        <v>110</v>
      </c>
      <c r="U123" s="205" t="s">
        <v>69</v>
      </c>
      <c r="V123" s="234" t="s">
        <v>70</v>
      </c>
      <c r="W123" s="205" t="s">
        <v>71</v>
      </c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498"/>
      <c r="AU123" s="203"/>
      <c r="AV123" s="504"/>
      <c r="BG123" s="205" t="s">
        <v>61</v>
      </c>
      <c r="BH123" s="205" t="s">
        <v>62</v>
      </c>
      <c r="BI123" s="233" t="s">
        <v>63</v>
      </c>
      <c r="BJ123" s="205" t="s">
        <v>64</v>
      </c>
      <c r="BK123" s="205" t="s">
        <v>43</v>
      </c>
      <c r="BL123" s="205" t="s">
        <v>95</v>
      </c>
      <c r="BM123" s="205" t="s">
        <v>66</v>
      </c>
      <c r="BN123" s="205" t="s">
        <v>67</v>
      </c>
      <c r="BO123" s="205" t="s">
        <v>110</v>
      </c>
      <c r="BP123" s="205" t="s">
        <v>69</v>
      </c>
      <c r="BQ123" s="234" t="s">
        <v>70</v>
      </c>
      <c r="BR123" s="205" t="s">
        <v>71</v>
      </c>
      <c r="BS123" s="203"/>
      <c r="BT123" s="203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203"/>
      <c r="CM123" s="203"/>
      <c r="CN123" s="203"/>
      <c r="CO123" s="498"/>
    </row>
    <row r="124" ht="18.75">
      <c r="A124" s="504"/>
      <c r="L124" s="205">
        <v>5</v>
      </c>
      <c r="M124" s="201">
        <v>1</v>
      </c>
      <c r="N124" s="219" t="s">
        <v>435</v>
      </c>
      <c r="O124" s="204"/>
      <c r="P124" s="205"/>
      <c r="Q124" s="203"/>
      <c r="R124" s="204"/>
      <c r="S124" s="205"/>
      <c r="T124" s="230"/>
      <c r="U124" s="235">
        <f>Table80102[[#Totals],[price]]</f>
        <v>113647.6</v>
      </c>
      <c r="V124" s="505">
        <f>M124*Table1613687798[[#This Row],[سعر الشبك ]]</f>
        <v>113647.6</v>
      </c>
      <c r="W124" s="222">
        <f>(V124)/$R$71</f>
        <v>0.72336619536862723</v>
      </c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498"/>
      <c r="AU124" s="203"/>
      <c r="AV124" s="504"/>
      <c r="BG124" s="205">
        <v>5</v>
      </c>
      <c r="BH124" s="201">
        <v>1</v>
      </c>
      <c r="BI124" s="219" t="s">
        <v>435</v>
      </c>
      <c r="BJ124" s="204"/>
      <c r="BK124" s="205"/>
      <c r="BL124" s="203"/>
      <c r="BM124" s="204"/>
      <c r="BN124" s="205"/>
      <c r="BO124" s="230"/>
      <c r="BP124" s="235">
        <f>Table80102113[[#Totals],[price]]</f>
        <v>60201.1</v>
      </c>
      <c r="BQ124" s="505">
        <f>BH124*Table1613687798109[[#This Row],[سعر الشبك ]]</f>
        <v>60201.1</v>
      </c>
      <c r="BR124" s="222">
        <f>(BQ124)/$R$71</f>
        <v>0.38317958904549032</v>
      </c>
      <c r="BS124" s="203"/>
      <c r="BT124" s="203"/>
      <c r="BU124" s="203"/>
      <c r="BV124" s="203"/>
      <c r="BW124" s="203"/>
      <c r="BX124" s="203"/>
      <c r="BY124" s="203"/>
      <c r="BZ124" s="203"/>
      <c r="CA124" s="203"/>
      <c r="CB124" s="203"/>
      <c r="CC124" s="203"/>
      <c r="CD124" s="203"/>
      <c r="CE124" s="203"/>
      <c r="CF124" s="203"/>
      <c r="CG124" s="203"/>
      <c r="CH124" s="203"/>
      <c r="CI124" s="203"/>
      <c r="CJ124" s="203"/>
      <c r="CK124" s="203"/>
      <c r="CL124" s="203"/>
      <c r="CM124" s="203"/>
      <c r="CN124" s="203"/>
      <c r="CO124" s="498"/>
    </row>
    <row r="125" ht="18.75">
      <c r="A125" s="504"/>
      <c r="L125" s="205">
        <v>4</v>
      </c>
      <c r="M125" s="218">
        <f>IF((Q141="الاسكندرية"),0.25,0.1)</f>
        <v>0.1</v>
      </c>
      <c r="N125" s="219" t="s">
        <v>165</v>
      </c>
      <c r="O125" s="204"/>
      <c r="P125" s="205"/>
      <c r="Q125" s="203"/>
      <c r="R125" s="204"/>
      <c r="S125" s="205"/>
      <c r="T125" s="230"/>
      <c r="U125" s="235">
        <f>V124</f>
        <v>113647.6</v>
      </c>
      <c r="V125" s="221">
        <f>M125*Table1613687798[[#This Row],[سعر الشبك ]]</f>
        <v>11364.760000000002</v>
      </c>
      <c r="W125" s="222">
        <f>(V125)/$R$71</f>
        <v>0.07233661953686274</v>
      </c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498"/>
      <c r="AU125" s="203"/>
      <c r="AV125" s="504"/>
      <c r="BG125" s="205">
        <v>4</v>
      </c>
      <c r="BH125" s="218">
        <f>IF((BL141="الاسكندرية"),0.25,0.1)</f>
        <v>0.1</v>
      </c>
      <c r="BI125" s="219" t="s">
        <v>165</v>
      </c>
      <c r="BJ125" s="204"/>
      <c r="BK125" s="205"/>
      <c r="BL125" s="203"/>
      <c r="BM125" s="204"/>
      <c r="BN125" s="205"/>
      <c r="BO125" s="230"/>
      <c r="BP125" s="235">
        <f>BQ124</f>
        <v>60201.1</v>
      </c>
      <c r="BQ125" s="221">
        <f>BH125*Table1613687798109[[#This Row],[سعر الشبك ]]</f>
        <v>6020.1100000000006</v>
      </c>
      <c r="BR125" s="222">
        <f>(BQ125)/$R$71</f>
        <v>0.038317958904549032</v>
      </c>
      <c r="BS125" s="203"/>
      <c r="BT125" s="203"/>
      <c r="BU125" s="203"/>
      <c r="BV125" s="203"/>
      <c r="BW125" s="203"/>
      <c r="BX125" s="203"/>
      <c r="BY125" s="203"/>
      <c r="BZ125" s="203"/>
      <c r="CA125" s="203"/>
      <c r="CB125" s="203"/>
      <c r="CC125" s="203"/>
      <c r="CD125" s="203"/>
      <c r="CE125" s="203"/>
      <c r="CF125" s="203"/>
      <c r="CG125" s="203"/>
      <c r="CH125" s="203"/>
      <c r="CI125" s="203"/>
      <c r="CJ125" s="203"/>
      <c r="CK125" s="203"/>
      <c r="CL125" s="203"/>
      <c r="CM125" s="203"/>
      <c r="CN125" s="203"/>
      <c r="CO125" s="498"/>
    </row>
    <row r="126" ht="18.75">
      <c r="A126" s="504"/>
      <c r="L126" s="205" t="s">
        <v>88</v>
      </c>
      <c r="M126" s="218"/>
      <c r="N126" s="219" t="s">
        <v>88</v>
      </c>
      <c r="O126" s="204"/>
      <c r="P126" s="204"/>
      <c r="Q126" s="203">
        <f>SUBTOTAL(109,Table1613687798[Column12])</f>
        <v>0</v>
      </c>
      <c r="R126" s="205"/>
      <c r="S126" s="205"/>
      <c r="T126" s="205"/>
      <c r="U126" s="226"/>
      <c r="V126" s="221">
        <f>SUBTOTAL(109,Table1613687798[اجمالي])</f>
        <v>125012.36000000002</v>
      </c>
      <c r="W126" s="243">
        <f>Table1613687798[[#Totals],[اجمالي]]/$R$71</f>
        <v>0.79570281490549011</v>
      </c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498"/>
      <c r="AU126" s="203"/>
      <c r="AV126" s="504"/>
      <c r="BG126" s="205" t="s">
        <v>88</v>
      </c>
      <c r="BH126" s="218"/>
      <c r="BI126" s="219" t="s">
        <v>88</v>
      </c>
      <c r="BJ126" s="204"/>
      <c r="BK126" s="204"/>
      <c r="BL126" s="203">
        <f>SUBTOTAL(109,Table1613687798109[Column12])</f>
        <v>0</v>
      </c>
      <c r="BM126" s="205"/>
      <c r="BN126" s="205"/>
      <c r="BO126" s="205"/>
      <c r="BP126" s="226"/>
      <c r="BQ126" s="221">
        <f>SUBTOTAL(109,Table1613687798109[اجمالي])</f>
        <v>66221.209999999992</v>
      </c>
      <c r="BR126" s="243">
        <f>Table1613687798109[[#Totals],[اجمالي]]/$R$71</f>
        <v>0.4214975479500393</v>
      </c>
      <c r="BS126" s="203"/>
      <c r="BT126" s="203"/>
      <c r="BU126" s="203"/>
      <c r="BV126" s="203"/>
      <c r="BW126" s="203"/>
      <c r="BX126" s="203"/>
      <c r="BY126" s="203"/>
      <c r="BZ126" s="203"/>
      <c r="CA126" s="203"/>
      <c r="CB126" s="203"/>
      <c r="CC126" s="203"/>
      <c r="CD126" s="203"/>
      <c r="CE126" s="203"/>
      <c r="CF126" s="203"/>
      <c r="CG126" s="203"/>
      <c r="CH126" s="203"/>
      <c r="CI126" s="203"/>
      <c r="CJ126" s="203"/>
      <c r="CK126" s="203"/>
      <c r="CL126" s="203"/>
      <c r="CM126" s="203"/>
      <c r="CN126" s="203"/>
      <c r="CO126" s="498"/>
    </row>
    <row r="127" ht="18.75">
      <c r="A127" s="504"/>
      <c r="L127" s="203"/>
      <c r="M127" s="203"/>
      <c r="N127" s="231"/>
      <c r="O127" s="629" t="s">
        <v>166</v>
      </c>
      <c r="P127" s="629"/>
      <c r="Q127" s="629"/>
      <c r="R127" s="629"/>
      <c r="S127" s="629"/>
      <c r="T127" s="629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498"/>
      <c r="AU127" s="203"/>
      <c r="AV127" s="504"/>
      <c r="BG127" s="203"/>
      <c r="BH127" s="203"/>
      <c r="BI127" s="231"/>
      <c r="BJ127" s="629" t="s">
        <v>166</v>
      </c>
      <c r="BK127" s="629"/>
      <c r="BL127" s="629"/>
      <c r="BM127" s="629"/>
      <c r="BN127" s="629"/>
      <c r="BO127" s="629"/>
      <c r="BP127" s="203"/>
      <c r="BQ127" s="203"/>
      <c r="BR127" s="203"/>
      <c r="BS127" s="203"/>
      <c r="BT127" s="203"/>
      <c r="BU127" s="203"/>
      <c r="BV127" s="203"/>
      <c r="BW127" s="203"/>
      <c r="BX127" s="203"/>
      <c r="BY127" s="203"/>
      <c r="BZ127" s="203"/>
      <c r="CA127" s="203"/>
      <c r="CB127" s="203"/>
      <c r="CC127" s="203"/>
      <c r="CD127" s="203"/>
      <c r="CE127" s="203"/>
      <c r="CF127" s="203"/>
      <c r="CG127" s="203"/>
      <c r="CH127" s="203"/>
      <c r="CI127" s="203"/>
      <c r="CJ127" s="203"/>
      <c r="CK127" s="203"/>
      <c r="CL127" s="203"/>
      <c r="CM127" s="203"/>
      <c r="CN127" s="203"/>
      <c r="CO127" s="498"/>
    </row>
    <row r="128" ht="18.75">
      <c r="A128" s="504"/>
      <c r="L128" s="205" t="s">
        <v>61</v>
      </c>
      <c r="M128" s="205" t="s">
        <v>62</v>
      </c>
      <c r="N128" s="233" t="s">
        <v>63</v>
      </c>
      <c r="O128" s="205" t="s">
        <v>167</v>
      </c>
      <c r="P128" s="205" t="s">
        <v>46</v>
      </c>
      <c r="Q128" s="205" t="s">
        <v>168</v>
      </c>
      <c r="R128" s="205" t="s">
        <v>169</v>
      </c>
      <c r="S128" s="205" t="s">
        <v>95</v>
      </c>
      <c r="T128" s="205" t="s">
        <v>170</v>
      </c>
      <c r="U128" s="205" t="s">
        <v>171</v>
      </c>
      <c r="V128" s="234" t="s">
        <v>70</v>
      </c>
      <c r="W128" s="205" t="s">
        <v>71</v>
      </c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498"/>
      <c r="AU128" s="203"/>
      <c r="AV128" s="504"/>
      <c r="BG128" s="205" t="s">
        <v>61</v>
      </c>
      <c r="BH128" s="205" t="s">
        <v>62</v>
      </c>
      <c r="BI128" s="233" t="s">
        <v>63</v>
      </c>
      <c r="BJ128" s="205" t="s">
        <v>167</v>
      </c>
      <c r="BK128" s="205" t="s">
        <v>46</v>
      </c>
      <c r="BL128" s="205" t="s">
        <v>168</v>
      </c>
      <c r="BM128" s="205" t="s">
        <v>169</v>
      </c>
      <c r="BN128" s="205" t="s">
        <v>95</v>
      </c>
      <c r="BO128" s="205" t="s">
        <v>170</v>
      </c>
      <c r="BP128" s="205" t="s">
        <v>171</v>
      </c>
      <c r="BQ128" s="234" t="s">
        <v>70</v>
      </c>
      <c r="BR128" s="205" t="s">
        <v>71</v>
      </c>
      <c r="BS128" s="203"/>
      <c r="BT128" s="203"/>
      <c r="BU128" s="203"/>
      <c r="BV128" s="203"/>
      <c r="BW128" s="203"/>
      <c r="BX128" s="203"/>
      <c r="BY128" s="203"/>
      <c r="BZ128" s="203"/>
      <c r="CA128" s="203"/>
      <c r="CB128" s="203"/>
      <c r="CC128" s="203"/>
      <c r="CD128" s="203"/>
      <c r="CE128" s="203"/>
      <c r="CF128" s="203"/>
      <c r="CG128" s="203"/>
      <c r="CH128" s="203"/>
      <c r="CI128" s="203"/>
      <c r="CJ128" s="203"/>
      <c r="CK128" s="203"/>
      <c r="CL128" s="203"/>
      <c r="CM128" s="203"/>
      <c r="CN128" s="203"/>
      <c r="CO128" s="498"/>
    </row>
    <row r="129" ht="18.75">
      <c r="A129" s="504"/>
      <c r="L129" s="205">
        <v>1</v>
      </c>
      <c r="M129" s="201">
        <v>2</v>
      </c>
      <c r="N129" s="206" t="s">
        <v>172</v>
      </c>
      <c r="O129" s="205">
        <f>IF((Table1612677697[[#This Row],[موقع العمل]]="المصنع"),150,IF((Table1612677697[[#This Row],[موقع العمل]]="الاسكندرية"),160,200))</f>
        <v>150</v>
      </c>
      <c r="P129" s="205">
        <f>SUMIF(Table17697899[Column1],Table1612677697[[#This Row],[موقع العمل]],$AB$2:$AB$20)</f>
        <v>0</v>
      </c>
      <c r="Q129" s="205" t="s">
        <v>173</v>
      </c>
      <c r="R129" s="204" t="s">
        <v>73</v>
      </c>
      <c r="S129" s="203"/>
      <c r="T129" s="220">
        <v>1</v>
      </c>
      <c r="U129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150</v>
      </c>
      <c r="V129" s="221">
        <f ref="V129:V141" t="shared" si="33" ca="1">M129*U129</f>
        <v>300</v>
      </c>
      <c r="W129" s="222">
        <f ref="W129:W141" t="shared" si="34" ca="1">(V129)/$R$71</f>
        <v>0.0019094979446164122</v>
      </c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498"/>
      <c r="AU129" s="203"/>
      <c r="AV129" s="504"/>
      <c r="BG129" s="205">
        <v>1</v>
      </c>
      <c r="BH129" s="201">
        <v>2</v>
      </c>
      <c r="BI129" s="206" t="s">
        <v>172</v>
      </c>
      <c r="BJ129" s="205">
        <f>IF((Table1612677697108[[#This Row],[موقع العمل]]="المصنع"),150,IF((Table1612677697108[[#This Row],[موقع العمل]]="الاسكندرية"),160,200))</f>
        <v>150</v>
      </c>
      <c r="BK129" s="205">
        <f>SUMIF(Table17697899110[Column1],Table1612677697108[[#This Row],[موقع العمل]],$AB$2:$AB$20)</f>
        <v>0</v>
      </c>
      <c r="BL129" s="205" t="s">
        <v>173</v>
      </c>
      <c r="BM129" s="204" t="s">
        <v>73</v>
      </c>
      <c r="BN129" s="203"/>
      <c r="BO129" s="220">
        <v>1</v>
      </c>
      <c r="BP129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150</v>
      </c>
      <c r="BQ129" s="221">
        <f ref="BQ129:BQ141" t="shared" si="35" ca="1">BH129*BP129</f>
        <v>300</v>
      </c>
      <c r="BR129" s="222">
        <f ref="BR129:BR141" t="shared" si="36" ca="1">(BQ129)/$R$71</f>
        <v>0.0019094979446164122</v>
      </c>
      <c r="BS129" s="203"/>
      <c r="BT129" s="203"/>
      <c r="BU129" s="203"/>
      <c r="BV129" s="203"/>
      <c r="BW129" s="203"/>
      <c r="BX129" s="203"/>
      <c r="BY129" s="203"/>
      <c r="BZ129" s="203"/>
      <c r="CA129" s="203"/>
      <c r="CB129" s="203"/>
      <c r="CC129" s="203"/>
      <c r="CD129" s="203"/>
      <c r="CE129" s="203"/>
      <c r="CF129" s="203"/>
      <c r="CG129" s="203"/>
      <c r="CH129" s="203"/>
      <c r="CI129" s="203"/>
      <c r="CJ129" s="203"/>
      <c r="CK129" s="203"/>
      <c r="CL129" s="203"/>
      <c r="CM129" s="203"/>
      <c r="CN129" s="203"/>
      <c r="CO129" s="498"/>
    </row>
    <row r="130" ht="18.75">
      <c r="A130" s="504"/>
      <c r="L130" s="205">
        <v>2</v>
      </c>
      <c r="M130" s="201">
        <v>2</v>
      </c>
      <c r="N130" s="206" t="s">
        <v>174</v>
      </c>
      <c r="O130" s="205">
        <f>IF((Table1612677697[[#This Row],[موقع العمل]]="المصنع"),150,IF((Table1612677697[[#This Row],[موقع العمل]]="الاسكندرية"),160,200))</f>
        <v>150</v>
      </c>
      <c r="P130" s="205">
        <f>SUMIF(Table17697899[Column1],Table1612677697[[#This Row],[موقع العمل]],$AB$2:$AB$20)</f>
        <v>0</v>
      </c>
      <c r="Q130" s="205" t="s">
        <v>173</v>
      </c>
      <c r="R130" s="204" t="s">
        <v>73</v>
      </c>
      <c r="S130" s="203"/>
      <c r="T130" s="220">
        <v>1</v>
      </c>
      <c r="U130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150</v>
      </c>
      <c r="V130" s="221">
        <f t="shared" si="33" ca="1"/>
        <v>300</v>
      </c>
      <c r="W130" s="222">
        <f t="shared" si="34" ca="1"/>
        <v>0.0019094979446164122</v>
      </c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498"/>
      <c r="AU130" s="203"/>
      <c r="AV130" s="504"/>
      <c r="BG130" s="205">
        <v>2</v>
      </c>
      <c r="BH130" s="201">
        <v>2</v>
      </c>
      <c r="BI130" s="206" t="s">
        <v>174</v>
      </c>
      <c r="BJ130" s="205">
        <f>IF((Table1612677697108[[#This Row],[موقع العمل]]="المصنع"),150,IF((Table1612677697108[[#This Row],[موقع العمل]]="الاسكندرية"),160,200))</f>
        <v>150</v>
      </c>
      <c r="BK130" s="205">
        <f>SUMIF(Table17697899110[Column1],Table1612677697108[[#This Row],[موقع العمل]],$AB$2:$AB$20)</f>
        <v>0</v>
      </c>
      <c r="BL130" s="205" t="s">
        <v>173</v>
      </c>
      <c r="BM130" s="204" t="s">
        <v>73</v>
      </c>
      <c r="BN130" s="203"/>
      <c r="BO130" s="220">
        <v>1</v>
      </c>
      <c r="BP130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150</v>
      </c>
      <c r="BQ130" s="221">
        <f t="shared" si="35" ca="1"/>
        <v>300</v>
      </c>
      <c r="BR130" s="222">
        <f t="shared" si="36" ca="1"/>
        <v>0.0019094979446164122</v>
      </c>
      <c r="BS130" s="203"/>
      <c r="BT130" s="203"/>
      <c r="BU130" s="203"/>
      <c r="BV130" s="203"/>
      <c r="BW130" s="203"/>
      <c r="BX130" s="203"/>
      <c r="BY130" s="203"/>
      <c r="BZ130" s="203"/>
      <c r="CA130" s="203"/>
      <c r="CB130" s="203"/>
      <c r="CC130" s="203"/>
      <c r="CD130" s="203"/>
      <c r="CE130" s="203"/>
      <c r="CF130" s="203"/>
      <c r="CG130" s="203"/>
      <c r="CH130" s="203"/>
      <c r="CI130" s="203"/>
      <c r="CJ130" s="203"/>
      <c r="CK130" s="203"/>
      <c r="CL130" s="203"/>
      <c r="CM130" s="203"/>
      <c r="CN130" s="203"/>
      <c r="CO130" s="498"/>
    </row>
    <row r="131" ht="18.75">
      <c r="A131" s="504"/>
      <c r="L131" s="205">
        <v>3</v>
      </c>
      <c r="M131" s="201">
        <v>3</v>
      </c>
      <c r="N131" s="206" t="s">
        <v>175</v>
      </c>
      <c r="O131" s="205">
        <f>IF((Table1612677697[[#This Row],[موقع العمل]]="المصنع"),150,IF((Table1612677697[[#This Row],[موقع العمل]]="الاسكندرية"),160,200))</f>
        <v>150</v>
      </c>
      <c r="P131" s="205">
        <f>SUMIF(Table17697899[Column1],Table1612677697[[#This Row],[موقع العمل]],$AB$2:$AB$20)</f>
        <v>0</v>
      </c>
      <c r="Q131" s="205" t="s">
        <v>173</v>
      </c>
      <c r="R131" s="204" t="s">
        <v>73</v>
      </c>
      <c r="S131" s="203"/>
      <c r="T131" s="220">
        <v>0</v>
      </c>
      <c r="U131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31" s="221">
        <f t="shared" si="33"/>
        <v>0</v>
      </c>
      <c r="W131" s="222">
        <f t="shared" si="34" ca="1"/>
        <v>0</v>
      </c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498"/>
      <c r="AU131" s="203"/>
      <c r="AV131" s="504"/>
      <c r="BG131" s="205">
        <v>3</v>
      </c>
      <c r="BH131" s="201">
        <v>3</v>
      </c>
      <c r="BI131" s="206" t="s">
        <v>175</v>
      </c>
      <c r="BJ131" s="205">
        <f>IF((Table1612677697108[[#This Row],[موقع العمل]]="المصنع"),150,IF((Table1612677697108[[#This Row],[موقع العمل]]="الاسكندرية"),160,200))</f>
        <v>150</v>
      </c>
      <c r="BK131" s="205">
        <f>SUMIF(Table17697899110[Column1],Table1612677697108[[#This Row],[موقع العمل]],$AB$2:$AB$20)</f>
        <v>0</v>
      </c>
      <c r="BL131" s="205" t="s">
        <v>173</v>
      </c>
      <c r="BM131" s="204" t="s">
        <v>73</v>
      </c>
      <c r="BN131" s="203"/>
      <c r="BO131" s="220">
        <v>0</v>
      </c>
      <c r="BP131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31" s="221">
        <f t="shared" si="35"/>
        <v>0</v>
      </c>
      <c r="BR131" s="222">
        <f t="shared" si="36" ca="1"/>
        <v>0</v>
      </c>
      <c r="BS131" s="203"/>
      <c r="BT131" s="203"/>
      <c r="BU131" s="203"/>
      <c r="BV131" s="203"/>
      <c r="BW131" s="203"/>
      <c r="BX131" s="203"/>
      <c r="BY131" s="203"/>
      <c r="BZ131" s="203"/>
      <c r="CA131" s="203"/>
      <c r="CB131" s="203"/>
      <c r="CC131" s="203"/>
      <c r="CD131" s="203"/>
      <c r="CE131" s="203"/>
      <c r="CF131" s="203"/>
      <c r="CG131" s="203"/>
      <c r="CH131" s="203"/>
      <c r="CI131" s="203"/>
      <c r="CJ131" s="203"/>
      <c r="CK131" s="203"/>
      <c r="CL131" s="203"/>
      <c r="CM131" s="203"/>
      <c r="CN131" s="203"/>
      <c r="CO131" s="498"/>
    </row>
    <row r="132" ht="18.75">
      <c r="A132" s="504"/>
      <c r="L132" s="205">
        <v>4</v>
      </c>
      <c r="M132" s="218">
        <v>3</v>
      </c>
      <c r="N132" s="206" t="s">
        <v>176</v>
      </c>
      <c r="O132" s="205">
        <f>IF((Table1612677697[[#This Row],[موقع العمل]]="المصنع"),150,IF((Table1612677697[[#This Row],[موقع العمل]]="الاسكندرية"),160,200))</f>
        <v>150</v>
      </c>
      <c r="P132" s="205">
        <f>SUMIF(Table17697899[Column1],Table1612677697[[#This Row],[موقع العمل]],$AB$2:$AB$20)</f>
        <v>0</v>
      </c>
      <c r="Q132" s="205" t="s">
        <v>173</v>
      </c>
      <c r="R132" s="204" t="s">
        <v>73</v>
      </c>
      <c r="S132" s="203"/>
      <c r="T132" s="220">
        <v>2</v>
      </c>
      <c r="U132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300</v>
      </c>
      <c r="V132" s="221">
        <f t="shared" si="33" ca="1"/>
        <v>900</v>
      </c>
      <c r="W132" s="222">
        <f t="shared" si="34" ca="1"/>
        <v>0.0057284938338492365</v>
      </c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498"/>
      <c r="AU132" s="203"/>
      <c r="AV132" s="504"/>
      <c r="BG132" s="205">
        <v>4</v>
      </c>
      <c r="BH132" s="218">
        <v>3</v>
      </c>
      <c r="BI132" s="206" t="s">
        <v>176</v>
      </c>
      <c r="BJ132" s="205">
        <f>IF((Table1612677697108[[#This Row],[موقع العمل]]="المصنع"),150,IF((Table1612677697108[[#This Row],[موقع العمل]]="الاسكندرية"),160,200))</f>
        <v>150</v>
      </c>
      <c r="BK132" s="205">
        <f>SUMIF(Table17697899110[Column1],Table1612677697108[[#This Row],[موقع العمل]],$AB$2:$AB$20)</f>
        <v>0</v>
      </c>
      <c r="BL132" s="205" t="s">
        <v>173</v>
      </c>
      <c r="BM132" s="204" t="s">
        <v>73</v>
      </c>
      <c r="BN132" s="203"/>
      <c r="BO132" s="220">
        <v>2</v>
      </c>
      <c r="BP132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300</v>
      </c>
      <c r="BQ132" s="221">
        <f t="shared" si="35" ca="1"/>
        <v>900</v>
      </c>
      <c r="BR132" s="222">
        <f t="shared" si="36" ca="1"/>
        <v>0.0057284938338492365</v>
      </c>
      <c r="BS132" s="203"/>
      <c r="BT132" s="203"/>
      <c r="BU132" s="203"/>
      <c r="BV132" s="203"/>
      <c r="BW132" s="203"/>
      <c r="BX132" s="203"/>
      <c r="BY132" s="203"/>
      <c r="BZ132" s="203"/>
      <c r="CA132" s="203"/>
      <c r="CB132" s="203"/>
      <c r="CC132" s="203"/>
      <c r="CD132" s="203"/>
      <c r="CE132" s="203"/>
      <c r="CF132" s="203"/>
      <c r="CG132" s="203"/>
      <c r="CH132" s="203"/>
      <c r="CI132" s="203"/>
      <c r="CJ132" s="203"/>
      <c r="CK132" s="203"/>
      <c r="CL132" s="203"/>
      <c r="CM132" s="203"/>
      <c r="CN132" s="203"/>
      <c r="CO132" s="498"/>
    </row>
    <row r="133" ht="18.75">
      <c r="A133" s="504"/>
      <c r="L133" s="205">
        <v>5</v>
      </c>
      <c r="M133" s="218">
        <v>4</v>
      </c>
      <c r="N133" s="206" t="s">
        <v>177</v>
      </c>
      <c r="O133" s="205">
        <f>IF((Table1612677697[[#This Row],[موقع العمل]]="المصنع"),150,IF((Table1612677697[[#This Row],[موقع العمل]]="الاسكندرية"),160,200))</f>
        <v>200</v>
      </c>
      <c r="P133" s="205">
        <f>SUMIF(Table17697899[Column1],Table1612677697[[#This Row],[موقع العمل]],$AB$2:$AB$20)</f>
        <v>75</v>
      </c>
      <c r="Q133" s="205" t="str">
        <f>تسعير!$AT$44</f>
        <v>الاسماعيلية</v>
      </c>
      <c r="R133" s="204" t="s">
        <v>73</v>
      </c>
      <c r="S133" s="203"/>
      <c r="T133" s="220">
        <v>2</v>
      </c>
      <c r="U133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3" s="221">
        <f t="shared" si="33" ca="1"/>
        <v>2200</v>
      </c>
      <c r="W133" s="222">
        <f t="shared" si="34" ca="1"/>
        <v>0.014002984927187023</v>
      </c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  <c r="AL133" s="223"/>
      <c r="AM133" s="223"/>
      <c r="AN133" s="223"/>
      <c r="AO133" s="203"/>
      <c r="AP133" s="203"/>
      <c r="AQ133" s="223"/>
      <c r="AR133" s="223"/>
      <c r="AS133" s="223"/>
      <c r="AT133" s="506"/>
      <c r="AU133" s="203"/>
      <c r="AV133" s="504"/>
      <c r="BG133" s="205">
        <v>5</v>
      </c>
      <c r="BH133" s="218">
        <v>4</v>
      </c>
      <c r="BI133" s="206" t="s">
        <v>177</v>
      </c>
      <c r="BJ133" s="205">
        <f>IF((Table1612677697108[[#This Row],[موقع العمل]]="المصنع"),150,IF((Table1612677697108[[#This Row],[موقع العمل]]="الاسكندرية"),160,200))</f>
        <v>200</v>
      </c>
      <c r="BK133" s="205">
        <f>SUMIF(Table17697899110[Column1],Table1612677697108[[#This Row],[موقع العمل]],$AB$2:$AB$20)</f>
        <v>75</v>
      </c>
      <c r="BL133" s="205" t="str">
        <f>تسعير!$BE$44</f>
        <v>كفر الشيخ</v>
      </c>
      <c r="BM133" s="204" t="s">
        <v>73</v>
      </c>
      <c r="BN133" s="203"/>
      <c r="BO133" s="220">
        <v>2</v>
      </c>
      <c r="BP133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3" s="221">
        <f t="shared" si="35" ca="1"/>
        <v>2200</v>
      </c>
      <c r="BR133" s="222">
        <f t="shared" si="36" ca="1"/>
        <v>0.014002984927187023</v>
      </c>
      <c r="BS133" s="223"/>
      <c r="BT133" s="223"/>
      <c r="BU133" s="223"/>
      <c r="BV133" s="223"/>
      <c r="BW133" s="223"/>
      <c r="BX133" s="223"/>
      <c r="BY133" s="223"/>
      <c r="BZ133" s="223"/>
      <c r="CA133" s="223"/>
      <c r="CB133" s="223"/>
      <c r="CC133" s="223"/>
      <c r="CD133" s="223"/>
      <c r="CE133" s="223"/>
      <c r="CF133" s="223"/>
      <c r="CG133" s="223"/>
      <c r="CH133" s="223"/>
      <c r="CI133" s="223"/>
      <c r="CJ133" s="203"/>
      <c r="CK133" s="203"/>
      <c r="CL133" s="223"/>
      <c r="CM133" s="223"/>
      <c r="CN133" s="223"/>
      <c r="CO133" s="506"/>
    </row>
    <row r="134" ht="18.75">
      <c r="A134" s="504"/>
      <c r="L134" s="205">
        <v>6</v>
      </c>
      <c r="M134" s="218">
        <v>3</v>
      </c>
      <c r="N134" s="206" t="s">
        <v>178</v>
      </c>
      <c r="O134" s="205">
        <f>IF((Table1612677697[[#This Row],[موقع العمل]]="المصنع"),150,IF((Table1612677697[[#This Row],[موقع العمل]]="الاسكندرية"),160,200))</f>
        <v>200</v>
      </c>
      <c r="P134" s="205">
        <f>SUMIF(Table17697899[Column1],Table1612677697[[#This Row],[موقع العمل]],$AB$2:$AB$20)</f>
        <v>75</v>
      </c>
      <c r="Q134" s="205" t="str">
        <f>تسعير!$AT$44</f>
        <v>الاسماعيلية</v>
      </c>
      <c r="R134" s="204" t="s">
        <v>73</v>
      </c>
      <c r="S134" s="203"/>
      <c r="T134" s="220">
        <v>2</v>
      </c>
      <c r="U134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4" s="221">
        <f t="shared" si="33" ca="1"/>
        <v>1650</v>
      </c>
      <c r="W134" s="222">
        <f t="shared" si="34" ca="1"/>
        <v>0.010502238695390267</v>
      </c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  <c r="AL134" s="223"/>
      <c r="AM134" s="223"/>
      <c r="AN134" s="223"/>
      <c r="AO134" s="223"/>
      <c r="AP134" s="223"/>
      <c r="AQ134" s="223"/>
      <c r="AR134" s="223"/>
      <c r="AS134" s="223"/>
      <c r="AT134" s="506"/>
      <c r="AU134" s="203"/>
      <c r="AV134" s="504"/>
      <c r="BG134" s="205">
        <v>6</v>
      </c>
      <c r="BH134" s="218">
        <v>3</v>
      </c>
      <c r="BI134" s="206" t="s">
        <v>178</v>
      </c>
      <c r="BJ134" s="205">
        <f>IF((Table1612677697108[[#This Row],[موقع العمل]]="المصنع"),150,IF((Table1612677697108[[#This Row],[موقع العمل]]="الاسكندرية"),160,200))</f>
        <v>200</v>
      </c>
      <c r="BK134" s="205">
        <f>SUMIF(Table17697899110[Column1],Table1612677697108[[#This Row],[موقع العمل]],$AB$2:$AB$20)</f>
        <v>75</v>
      </c>
      <c r="BL134" s="205" t="str">
        <f>تسعير!$BE$44</f>
        <v>كفر الشيخ</v>
      </c>
      <c r="BM134" s="204" t="s">
        <v>73</v>
      </c>
      <c r="BN134" s="203"/>
      <c r="BO134" s="220">
        <v>2</v>
      </c>
      <c r="BP134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4" s="221">
        <f t="shared" si="35" ca="1"/>
        <v>1650</v>
      </c>
      <c r="BR134" s="222">
        <f t="shared" si="36" ca="1"/>
        <v>0.010502238695390267</v>
      </c>
      <c r="BS134" s="223"/>
      <c r="BT134" s="223"/>
      <c r="BU134" s="223"/>
      <c r="BV134" s="223"/>
      <c r="BW134" s="223"/>
      <c r="BX134" s="223"/>
      <c r="BY134" s="223"/>
      <c r="BZ134" s="223"/>
      <c r="CA134" s="223"/>
      <c r="CB134" s="223"/>
      <c r="CC134" s="223"/>
      <c r="CD134" s="223"/>
      <c r="CE134" s="223"/>
      <c r="CF134" s="223"/>
      <c r="CG134" s="223"/>
      <c r="CH134" s="223"/>
      <c r="CI134" s="223"/>
      <c r="CJ134" s="223"/>
      <c r="CK134" s="223"/>
      <c r="CL134" s="223"/>
      <c r="CM134" s="223"/>
      <c r="CN134" s="223"/>
      <c r="CO134" s="506"/>
    </row>
    <row r="135" ht="18.75">
      <c r="A135" s="504"/>
      <c r="L135" s="205">
        <v>7</v>
      </c>
      <c r="M135" s="218">
        <v>0</v>
      </c>
      <c r="N135" s="206" t="s">
        <v>179</v>
      </c>
      <c r="O135" s="205">
        <f>IF((Table1612677697[[#This Row],[موقع العمل]]="المصنع"),150,IF((Table1612677697[[#This Row],[موقع العمل]]="الاسكندرية"),160,200))</f>
        <v>200</v>
      </c>
      <c r="P135" s="205">
        <f>SUMIF(Table17697899[Column1],Table1612677697[[#This Row],[موقع العمل]],$AB$2:$AB$20)</f>
        <v>75</v>
      </c>
      <c r="Q135" s="205" t="str">
        <f>تسعير!$AT$44</f>
        <v>الاسماعيلية</v>
      </c>
      <c r="R135" s="204" t="s">
        <v>73</v>
      </c>
      <c r="S135" s="203"/>
      <c r="T135" s="220">
        <v>0</v>
      </c>
      <c r="U135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35" s="221">
        <f t="shared" si="33"/>
        <v>0</v>
      </c>
      <c r="W135" s="222">
        <f t="shared" si="34" ca="1"/>
        <v>0</v>
      </c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23"/>
      <c r="AP135" s="223"/>
      <c r="AQ135" s="203"/>
      <c r="AR135" s="203"/>
      <c r="AS135" s="203"/>
      <c r="AT135" s="498"/>
      <c r="AU135" s="203"/>
      <c r="AV135" s="504"/>
      <c r="BG135" s="205">
        <v>7</v>
      </c>
      <c r="BH135" s="218">
        <v>0</v>
      </c>
      <c r="BI135" s="206" t="s">
        <v>179</v>
      </c>
      <c r="BJ135" s="205">
        <f>IF((Table1612677697108[[#This Row],[موقع العمل]]="المصنع"),150,IF((Table1612677697108[[#This Row],[موقع العمل]]="الاسكندرية"),160,200))</f>
        <v>200</v>
      </c>
      <c r="BK135" s="205">
        <f>SUMIF(Table17697899110[Column1],Table1612677697108[[#This Row],[موقع العمل]],$AB$2:$AB$20)</f>
        <v>75</v>
      </c>
      <c r="BL135" s="205" t="str">
        <f>تسعير!$BE$44</f>
        <v>كفر الشيخ</v>
      </c>
      <c r="BM135" s="204" t="s">
        <v>73</v>
      </c>
      <c r="BN135" s="203"/>
      <c r="BO135" s="220">
        <v>0</v>
      </c>
      <c r="BP135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35" s="221">
        <f t="shared" si="35"/>
        <v>0</v>
      </c>
      <c r="BR135" s="222">
        <f t="shared" si="36" ca="1"/>
        <v>0</v>
      </c>
      <c r="BS135" s="203"/>
      <c r="BT135" s="203"/>
      <c r="BU135" s="203"/>
      <c r="BV135" s="203"/>
      <c r="BW135" s="203"/>
      <c r="BX135" s="203"/>
      <c r="BY135" s="203"/>
      <c r="BZ135" s="203"/>
      <c r="CA135" s="203"/>
      <c r="CB135" s="203"/>
      <c r="CC135" s="203"/>
      <c r="CD135" s="203"/>
      <c r="CE135" s="203"/>
      <c r="CF135" s="203"/>
      <c r="CG135" s="203"/>
      <c r="CH135" s="203"/>
      <c r="CI135" s="203"/>
      <c r="CJ135" s="223"/>
      <c r="CK135" s="223"/>
      <c r="CL135" s="203"/>
      <c r="CM135" s="203"/>
      <c r="CN135" s="203"/>
      <c r="CO135" s="498"/>
    </row>
    <row r="136" ht="18.75">
      <c r="A136" s="504"/>
      <c r="L136" s="205">
        <v>8</v>
      </c>
      <c r="M136" s="218">
        <v>4</v>
      </c>
      <c r="N136" s="206" t="s">
        <v>180</v>
      </c>
      <c r="O136" s="205">
        <f>IF((Table1612677697[[#This Row],[موقع العمل]]="المصنع"),150,IF((Table1612677697[[#This Row],[موقع العمل]]="الاسكندرية"),160,200))</f>
        <v>200</v>
      </c>
      <c r="P136" s="205">
        <f>SUMIF(Table17697899[Column1],Table1612677697[[#This Row],[موقع العمل]],$AB$2:$AB$20)</f>
        <v>75</v>
      </c>
      <c r="Q136" s="205" t="str">
        <f>تسعير!$AT$44</f>
        <v>الاسماعيلية</v>
      </c>
      <c r="R136" s="204" t="s">
        <v>73</v>
      </c>
      <c r="S136" s="203"/>
      <c r="T136" s="220">
        <v>2</v>
      </c>
      <c r="U136" s="220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550</v>
      </c>
      <c r="V136" s="221">
        <f t="shared" si="33" ca="1"/>
        <v>2200</v>
      </c>
      <c r="W136" s="222">
        <f t="shared" si="34" ca="1"/>
        <v>0.014002984927187023</v>
      </c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498"/>
      <c r="AU136" s="203"/>
      <c r="AV136" s="504"/>
      <c r="BG136" s="205">
        <v>8</v>
      </c>
      <c r="BH136" s="218">
        <v>4</v>
      </c>
      <c r="BI136" s="206" t="s">
        <v>180</v>
      </c>
      <c r="BJ136" s="205">
        <f>IF((Table1612677697108[[#This Row],[موقع العمل]]="المصنع"),150,IF((Table1612677697108[[#This Row],[موقع العمل]]="الاسكندرية"),160,200))</f>
        <v>200</v>
      </c>
      <c r="BK136" s="205">
        <f>SUMIF(Table17697899110[Column1],Table1612677697108[[#This Row],[موقع العمل]],$AB$2:$AB$20)</f>
        <v>75</v>
      </c>
      <c r="BL136" s="205" t="str">
        <f>تسعير!$BE$44</f>
        <v>كفر الشيخ</v>
      </c>
      <c r="BM136" s="204" t="s">
        <v>73</v>
      </c>
      <c r="BN136" s="203"/>
      <c r="BO136" s="220">
        <v>2</v>
      </c>
      <c r="BP136" s="220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550</v>
      </c>
      <c r="BQ136" s="221">
        <f t="shared" si="35" ca="1"/>
        <v>2200</v>
      </c>
      <c r="BR136" s="222">
        <f t="shared" si="36" ca="1"/>
        <v>0.014002984927187023</v>
      </c>
      <c r="BS136" s="203"/>
      <c r="BT136" s="203"/>
      <c r="BU136" s="203"/>
      <c r="BV136" s="203"/>
      <c r="BW136" s="203"/>
      <c r="BX136" s="203"/>
      <c r="BY136" s="203"/>
      <c r="BZ136" s="203"/>
      <c r="CA136" s="203"/>
      <c r="CB136" s="203"/>
      <c r="CC136" s="203"/>
      <c r="CD136" s="203"/>
      <c r="CE136" s="203"/>
      <c r="CF136" s="203"/>
      <c r="CG136" s="203"/>
      <c r="CH136" s="203"/>
      <c r="CI136" s="203"/>
      <c r="CJ136" s="203"/>
      <c r="CK136" s="203"/>
      <c r="CL136" s="203"/>
      <c r="CM136" s="203"/>
      <c r="CN136" s="203"/>
      <c r="CO136" s="498"/>
    </row>
    <row r="137" ht="18.75">
      <c r="A137" s="504"/>
      <c r="L137" s="205">
        <v>9</v>
      </c>
      <c r="M137" s="218">
        <f>(M133+M134+M135+M136)*2</f>
        <v>22</v>
      </c>
      <c r="N137" s="206" t="s">
        <v>181</v>
      </c>
      <c r="O137" s="205"/>
      <c r="P137" s="205"/>
      <c r="Q137" s="205" t="str">
        <f>تسعير!$AT$44</f>
        <v>الاسماعيلية</v>
      </c>
      <c r="R137" s="204"/>
      <c r="S137" s="230">
        <f>SUMIF(Table17697899[Column1],Table1612677697[[#This Row],[موقع العمل]],$Z$2:$Z$20)</f>
        <v>150</v>
      </c>
      <c r="T137" s="230"/>
      <c r="U137" s="220">
        <f>Table1612677697[[#This Row],[Column12]]</f>
        <v>150</v>
      </c>
      <c r="V137" s="221">
        <f t="shared" si="33" ca="1"/>
        <v>3300</v>
      </c>
      <c r="W137" s="222">
        <f t="shared" si="34" ca="1"/>
        <v>0.021004477390780533</v>
      </c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498"/>
      <c r="AU137" s="203"/>
      <c r="AV137" s="504"/>
      <c r="BG137" s="205">
        <v>9</v>
      </c>
      <c r="BH137" s="218">
        <f>(BH133+BH134+BH135+BH136)*2</f>
        <v>22</v>
      </c>
      <c r="BI137" s="206" t="s">
        <v>181</v>
      </c>
      <c r="BJ137" s="205"/>
      <c r="BK137" s="205"/>
      <c r="BL137" s="205" t="str">
        <f>تسعير!$BE$44</f>
        <v>كفر الشيخ</v>
      </c>
      <c r="BM137" s="204"/>
      <c r="BN137" s="230">
        <f>SUMIF(Table17697899110[Column1],Table1612677697108[[#This Row],[موقع العمل]],$Z$2:$Z$20)</f>
        <v>75</v>
      </c>
      <c r="BO137" s="230"/>
      <c r="BP137" s="220">
        <f>Table1612677697108[[#This Row],[Column12]]</f>
        <v>75</v>
      </c>
      <c r="BQ137" s="221">
        <f t="shared" si="35" ca="1"/>
        <v>1650</v>
      </c>
      <c r="BR137" s="222">
        <f t="shared" si="36" ca="1"/>
        <v>0.010502238695390267</v>
      </c>
      <c r="BS137" s="203"/>
      <c r="BT137" s="203"/>
      <c r="BU137" s="203"/>
      <c r="BV137" s="203"/>
      <c r="BW137" s="203"/>
      <c r="BX137" s="203"/>
      <c r="BY137" s="203"/>
      <c r="BZ137" s="203"/>
      <c r="CA137" s="203"/>
      <c r="CB137" s="203"/>
      <c r="CC137" s="203"/>
      <c r="CD137" s="203"/>
      <c r="CE137" s="203"/>
      <c r="CF137" s="203"/>
      <c r="CG137" s="203"/>
      <c r="CH137" s="203"/>
      <c r="CI137" s="203"/>
      <c r="CJ137" s="203"/>
      <c r="CK137" s="203"/>
      <c r="CL137" s="203"/>
      <c r="CM137" s="203"/>
      <c r="CN137" s="203"/>
      <c r="CO137" s="498"/>
    </row>
    <row r="138" ht="18.75">
      <c r="A138" s="504"/>
      <c r="L138" s="205">
        <v>10</v>
      </c>
      <c r="M138" s="218">
        <f>((T133+T134+T135+T136)*2)-3</f>
        <v>9</v>
      </c>
      <c r="N138" s="206" t="s">
        <v>182</v>
      </c>
      <c r="O138" s="205"/>
      <c r="P138" s="205"/>
      <c r="Q138" s="205" t="str">
        <f>تسعير!$AT$44</f>
        <v>الاسماعيلية</v>
      </c>
      <c r="R138" s="204"/>
      <c r="S138" s="230">
        <f>SUMIF(Table17697899[Column1],Table1612677697[[#This Row],[موقع العمل]],$AA$2:$AA$20)</f>
        <v>50</v>
      </c>
      <c r="T138" s="230"/>
      <c r="U138" s="220">
        <f>Table1612677697[[#This Row],[Column12]]</f>
        <v>50</v>
      </c>
      <c r="V138" s="221">
        <f t="shared" si="33" ca="1"/>
        <v>450</v>
      </c>
      <c r="W138" s="222">
        <f t="shared" si="34" ca="1"/>
        <v>0.0028642469169246182</v>
      </c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498"/>
      <c r="AU138" s="203"/>
      <c r="AV138" s="504"/>
      <c r="BG138" s="205">
        <v>10</v>
      </c>
      <c r="BH138" s="218">
        <f>((BO133+BO134+BO135+BO136)*2)-3</f>
        <v>9</v>
      </c>
      <c r="BI138" s="206" t="s">
        <v>182</v>
      </c>
      <c r="BJ138" s="205"/>
      <c r="BK138" s="205"/>
      <c r="BL138" s="205" t="str">
        <f>تسعير!$BE$44</f>
        <v>كفر الشيخ</v>
      </c>
      <c r="BM138" s="204"/>
      <c r="BN138" s="230">
        <f>SUMIF(Table17697899110[Column1],Table1612677697108[[#This Row],[موقع العمل]],$AA$2:$AA$20)</f>
        <v>50</v>
      </c>
      <c r="BO138" s="230"/>
      <c r="BP138" s="220">
        <f>Table1612677697108[[#This Row],[Column12]]</f>
        <v>50</v>
      </c>
      <c r="BQ138" s="221">
        <f t="shared" si="35" ca="1"/>
        <v>450</v>
      </c>
      <c r="BR138" s="222">
        <f t="shared" si="36" ca="1"/>
        <v>0.0028642469169246182</v>
      </c>
      <c r="BS138" s="203"/>
      <c r="BT138" s="203"/>
      <c r="BU138" s="203"/>
      <c r="BV138" s="203"/>
      <c r="BW138" s="203"/>
      <c r="BX138" s="203"/>
      <c r="BY138" s="203"/>
      <c r="BZ138" s="203"/>
      <c r="CA138" s="203"/>
      <c r="CB138" s="203"/>
      <c r="CC138" s="203"/>
      <c r="CD138" s="203"/>
      <c r="CE138" s="203"/>
      <c r="CF138" s="203"/>
      <c r="CG138" s="203"/>
      <c r="CH138" s="203"/>
      <c r="CI138" s="203"/>
      <c r="CJ138" s="203"/>
      <c r="CK138" s="203"/>
      <c r="CL138" s="203"/>
      <c r="CM138" s="203"/>
      <c r="CN138" s="203"/>
      <c r="CO138" s="498"/>
    </row>
    <row r="139" ht="18.75">
      <c r="A139" s="504"/>
      <c r="L139" s="205">
        <v>11</v>
      </c>
      <c r="M139" s="218">
        <v>0</v>
      </c>
      <c r="N139" s="206" t="s">
        <v>183</v>
      </c>
      <c r="O139" s="205"/>
      <c r="P139" s="205"/>
      <c r="Q139" s="205" t="str">
        <f>تسعير!$AT$44</f>
        <v>الاسماعيلية</v>
      </c>
      <c r="R139" s="204"/>
      <c r="S139" s="230">
        <f>SUMIF(Table17697899[Column1],Table1612677697[[#This Row],[موقع العمل]],$AC$2:$AC$20)</f>
        <v>1200</v>
      </c>
      <c r="T139" s="230"/>
      <c r="U139" s="220">
        <f>Table1612677697[[#This Row],[Column12]]</f>
        <v>1200</v>
      </c>
      <c r="V139" s="221">
        <f t="shared" si="33" ca="1"/>
        <v>0</v>
      </c>
      <c r="W139" s="222">
        <f t="shared" si="34" ca="1"/>
        <v>0</v>
      </c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498"/>
      <c r="AU139" s="203"/>
      <c r="AV139" s="504"/>
      <c r="BG139" s="205">
        <v>11</v>
      </c>
      <c r="BH139" s="218">
        <v>0</v>
      </c>
      <c r="BI139" s="206" t="s">
        <v>183</v>
      </c>
      <c r="BJ139" s="205"/>
      <c r="BK139" s="205"/>
      <c r="BL139" s="205" t="str">
        <f>تسعير!$BE$44</f>
        <v>كفر الشيخ</v>
      </c>
      <c r="BM139" s="204"/>
      <c r="BN139" s="230">
        <f>SUMIF(Table17697899110[Column1],Table1612677697108[[#This Row],[موقع العمل]],$AC$2:$AC$20)</f>
        <v>900</v>
      </c>
      <c r="BO139" s="230"/>
      <c r="BP139" s="220">
        <f>Table1612677697108[[#This Row],[Column12]]</f>
        <v>900</v>
      </c>
      <c r="BQ139" s="221">
        <f t="shared" si="35" ca="1"/>
        <v>0</v>
      </c>
      <c r="BR139" s="222">
        <f t="shared" si="36" ca="1"/>
        <v>0</v>
      </c>
      <c r="BS139" s="203"/>
      <c r="BT139" s="203"/>
      <c r="BU139" s="203"/>
      <c r="BV139" s="203"/>
      <c r="BW139" s="203"/>
      <c r="BX139" s="203"/>
      <c r="BY139" s="203"/>
      <c r="BZ139" s="203"/>
      <c r="CA139" s="203"/>
      <c r="CB139" s="203"/>
      <c r="CC139" s="203"/>
      <c r="CD139" s="203"/>
      <c r="CE139" s="203"/>
      <c r="CF139" s="203"/>
      <c r="CG139" s="203"/>
      <c r="CH139" s="203"/>
      <c r="CI139" s="203"/>
      <c r="CJ139" s="203"/>
      <c r="CK139" s="203"/>
      <c r="CL139" s="203"/>
      <c r="CM139" s="203"/>
      <c r="CN139" s="203"/>
      <c r="CO139" s="498"/>
    </row>
    <row r="140" ht="18.75">
      <c r="A140" s="504"/>
      <c r="L140" s="205">
        <v>12</v>
      </c>
      <c r="M140" s="218">
        <f>IF((تسعير!$AU$14="بالتات"),1,2)</f>
        <v>2</v>
      </c>
      <c r="N140" s="206" t="s">
        <v>184</v>
      </c>
      <c r="O140" s="205"/>
      <c r="P140" s="205"/>
      <c r="Q140" s="205" t="str">
        <f>تسعير!$AT$44</f>
        <v>الاسماعيلية</v>
      </c>
      <c r="R140" s="204"/>
      <c r="S140" s="230">
        <f>SUMIF(Table17697899[Column1],Table1612677697[[#This Row],[موقع العمل]],$AD$2:$AD$20)</f>
        <v>2300</v>
      </c>
      <c r="T140" s="230"/>
      <c r="U140" s="220">
        <f>Table1612677697[[#This Row],[Column12]]</f>
        <v>2300</v>
      </c>
      <c r="V140" s="221">
        <f t="shared" si="33" ca="1"/>
        <v>4600</v>
      </c>
      <c r="W140" s="222">
        <f t="shared" si="34" ca="1"/>
        <v>0.029278968484118321</v>
      </c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498"/>
      <c r="AU140" s="190"/>
      <c r="AV140" s="504"/>
      <c r="BG140" s="205">
        <v>12</v>
      </c>
      <c r="BH140" s="218">
        <f>IF((تسعير!$AU$14="بالتات"),1,2)</f>
        <v>2</v>
      </c>
      <c r="BI140" s="206" t="s">
        <v>184</v>
      </c>
      <c r="BJ140" s="205"/>
      <c r="BK140" s="205"/>
      <c r="BL140" s="205" t="str">
        <f>تسعير!$BE$44</f>
        <v>كفر الشيخ</v>
      </c>
      <c r="BM140" s="204"/>
      <c r="BN140" s="230">
        <f>SUMIF(Table17697899110[Column1],Table1612677697108[[#This Row],[موقع العمل]],$AD$2:$AD$20)</f>
        <v>1600</v>
      </c>
      <c r="BO140" s="230"/>
      <c r="BP140" s="220">
        <f>Table1612677697108[[#This Row],[Column12]]</f>
        <v>1600</v>
      </c>
      <c r="BQ140" s="221">
        <f t="shared" si="35" ca="1"/>
        <v>3200</v>
      </c>
      <c r="BR140" s="222">
        <f t="shared" si="36" ca="1"/>
        <v>0.020367978075908396</v>
      </c>
      <c r="BS140" s="203"/>
      <c r="BT140" s="203"/>
      <c r="BU140" s="203"/>
      <c r="BV140" s="203"/>
      <c r="BW140" s="203"/>
      <c r="BX140" s="203"/>
      <c r="BY140" s="203"/>
      <c r="BZ140" s="203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3"/>
      <c r="CL140" s="203"/>
      <c r="CM140" s="203"/>
      <c r="CN140" s="203"/>
      <c r="CO140" s="498"/>
    </row>
    <row r="141" ht="19.5">
      <c r="A141" s="504"/>
      <c r="L141" s="205">
        <v>13</v>
      </c>
      <c r="M141" s="218">
        <f>IF((تسعير!$AU$14="بالتات"),0,M138-2)</f>
        <v>7</v>
      </c>
      <c r="N141" s="206" t="s">
        <v>49</v>
      </c>
      <c r="O141" s="205"/>
      <c r="P141" s="205"/>
      <c r="Q141" s="205" t="str">
        <f>تسعير!$AT$44</f>
        <v>الاسماعيلية</v>
      </c>
      <c r="R141" s="204"/>
      <c r="S141" s="230">
        <f>SUMIF(Table17697899[Column1],Table1612677697[[#This Row],[موقع العمل]],$AE$2:$AE$8)</f>
        <v>0</v>
      </c>
      <c r="T141" s="230"/>
      <c r="U141" s="220">
        <f>Table1612677697[[#This Row],[Column12]]</f>
        <v>0</v>
      </c>
      <c r="V141" s="221">
        <f t="shared" si="33" ca="1"/>
        <v>0</v>
      </c>
      <c r="W141" s="222">
        <f t="shared" si="34" ca="1"/>
        <v>0</v>
      </c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498"/>
      <c r="AU141" s="190"/>
      <c r="AV141" s="507"/>
      <c r="AW141" s="508"/>
      <c r="AX141" s="508"/>
      <c r="AY141" s="508"/>
      <c r="AZ141" s="508"/>
      <c r="BA141" s="508"/>
      <c r="BG141" s="205">
        <v>13</v>
      </c>
      <c r="BH141" s="218">
        <f>IF((تسعير!$AU$14="بالتات"),0,BH138-2)</f>
        <v>7</v>
      </c>
      <c r="BI141" s="206" t="s">
        <v>49</v>
      </c>
      <c r="BJ141" s="205"/>
      <c r="BK141" s="205"/>
      <c r="BL141" s="205" t="str">
        <f>تسعير!$BE$44</f>
        <v>كفر الشيخ</v>
      </c>
      <c r="BM141" s="204"/>
      <c r="BN141" s="230">
        <f>SUMIF(Table17697899110[Column1],Table1612677697108[[#This Row],[موقع العمل]],$AE$2:$AE$8)</f>
        <v>0</v>
      </c>
      <c r="BO141" s="230"/>
      <c r="BP141" s="220">
        <f>Table1612677697108[[#This Row],[Column12]]</f>
        <v>0</v>
      </c>
      <c r="BQ141" s="221">
        <f t="shared" si="35" ca="1"/>
        <v>0</v>
      </c>
      <c r="BR141" s="222">
        <f t="shared" si="36" ca="1"/>
        <v>0</v>
      </c>
      <c r="BS141" s="203"/>
      <c r="BT141" s="203"/>
      <c r="BU141" s="203"/>
      <c r="BV141" s="203"/>
      <c r="BW141" s="203"/>
      <c r="BX141" s="203"/>
      <c r="BY141" s="203"/>
      <c r="BZ141" s="203"/>
      <c r="CA141" s="203"/>
      <c r="CB141" s="203"/>
      <c r="CC141" s="203"/>
      <c r="CD141" s="203"/>
      <c r="CE141" s="203"/>
      <c r="CF141" s="203"/>
      <c r="CG141" s="203"/>
      <c r="CH141" s="203"/>
      <c r="CI141" s="203"/>
      <c r="CJ141" s="203"/>
      <c r="CK141" s="203"/>
      <c r="CL141" s="203"/>
      <c r="CM141" s="203"/>
      <c r="CN141" s="203"/>
      <c r="CO141" s="498"/>
    </row>
    <row r="142" ht="18.75">
      <c r="A142" s="504"/>
      <c r="L142" s="559" t="s">
        <v>88</v>
      </c>
      <c r="M142" s="560"/>
      <c r="N142" s="561" t="s">
        <v>88</v>
      </c>
      <c r="O142" s="559"/>
      <c r="P142" s="559"/>
      <c r="Q142" s="562"/>
      <c r="R142" s="562"/>
      <c r="S142" s="563">
        <f>SUBTOTAL(109,Table1612677697[Column12])</f>
        <v>3700</v>
      </c>
      <c r="T142" s="559"/>
      <c r="U142" s="564"/>
      <c r="V142" s="565">
        <f>SUBTOTAL(109,Table1612677697[اجمالي])</f>
        <v>15900</v>
      </c>
      <c r="W142" s="566">
        <f>Table1612677697[[#Totals],[اجمالي]]/$R$71</f>
        <v>0.10120339106466984</v>
      </c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498"/>
      <c r="AU142" s="190"/>
      <c r="BG142" s="559" t="s">
        <v>88</v>
      </c>
      <c r="BH142" s="560"/>
      <c r="BI142" s="561" t="s">
        <v>88</v>
      </c>
      <c r="BJ142" s="559"/>
      <c r="BK142" s="559"/>
      <c r="BL142" s="562"/>
      <c r="BM142" s="562"/>
      <c r="BN142" s="563">
        <f>SUBTOTAL(109,Table1612677697108[Column12])</f>
        <v>2625</v>
      </c>
      <c r="BO142" s="559"/>
      <c r="BP142" s="564"/>
      <c r="BQ142" s="565">
        <f>SUBTOTAL(109,Table1612677697108[اجمالي])</f>
        <v>12850</v>
      </c>
      <c r="BR142" s="566">
        <f>Table1612677697108[[#Totals],[اجمالي]]/$R$71</f>
        <v>0.081790161961069655</v>
      </c>
      <c r="BS142" s="203"/>
      <c r="BT142" s="203"/>
      <c r="BU142" s="203"/>
      <c r="BV142" s="203"/>
      <c r="BW142" s="203"/>
      <c r="BX142" s="203"/>
      <c r="BY142" s="203"/>
      <c r="BZ142" s="203"/>
      <c r="CA142" s="203"/>
      <c r="CB142" s="203"/>
      <c r="CC142" s="203"/>
      <c r="CD142" s="203"/>
      <c r="CE142" s="203"/>
      <c r="CF142" s="203"/>
      <c r="CG142" s="203"/>
      <c r="CH142" s="203"/>
      <c r="CI142" s="203"/>
      <c r="CJ142" s="203"/>
      <c r="CK142" s="203"/>
      <c r="CL142" s="203"/>
      <c r="CM142" s="203"/>
      <c r="CN142" s="203"/>
      <c r="CO142" s="498"/>
    </row>
    <row r="143" ht="18.75">
      <c r="A143" s="504"/>
      <c r="L143" s="203"/>
      <c r="M143" s="203"/>
      <c r="N143" s="231"/>
      <c r="O143" s="630"/>
      <c r="P143" s="630"/>
      <c r="Q143" s="630"/>
      <c r="R143" s="630"/>
      <c r="S143" s="630"/>
      <c r="T143" s="630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498"/>
      <c r="AU143" s="190"/>
      <c r="BG143" s="203"/>
      <c r="BH143" s="203"/>
      <c r="BI143" s="231"/>
      <c r="BJ143" s="630"/>
      <c r="BK143" s="630"/>
      <c r="BL143" s="630"/>
      <c r="BM143" s="630"/>
      <c r="BN143" s="630"/>
      <c r="BO143" s="630"/>
      <c r="BP143" s="203"/>
      <c r="BQ143" s="203"/>
      <c r="BR143" s="203"/>
      <c r="BS143" s="203"/>
      <c r="BT143" s="203"/>
      <c r="BU143" s="203"/>
      <c r="BV143" s="203"/>
      <c r="BW143" s="203"/>
      <c r="BX143" s="203"/>
      <c r="BY143" s="203"/>
      <c r="BZ143" s="203"/>
      <c r="CA143" s="203"/>
      <c r="CB143" s="203"/>
      <c r="CC143" s="203"/>
      <c r="CD143" s="203"/>
      <c r="CE143" s="203"/>
      <c r="CF143" s="203"/>
      <c r="CG143" s="203"/>
      <c r="CH143" s="203"/>
      <c r="CI143" s="203"/>
      <c r="CJ143" s="203"/>
      <c r="CK143" s="203"/>
      <c r="CL143" s="203"/>
      <c r="CM143" s="203"/>
      <c r="CN143" s="203"/>
      <c r="CO143" s="498"/>
    </row>
    <row r="144" ht="18.75">
      <c r="A144" s="504"/>
      <c r="L144" s="205"/>
      <c r="M144" s="205"/>
      <c r="N144" s="233" t="s">
        <v>43</v>
      </c>
      <c r="O144" s="205" t="s">
        <v>185</v>
      </c>
      <c r="P144" s="205" t="s">
        <v>186</v>
      </c>
      <c r="Q144" s="205" t="s">
        <v>133</v>
      </c>
      <c r="R144" s="205" t="s">
        <v>64</v>
      </c>
      <c r="S144" s="205"/>
      <c r="T144" s="205"/>
      <c r="U144" s="205"/>
      <c r="V144" s="234"/>
      <c r="W144" s="205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498"/>
      <c r="AU144" s="190"/>
      <c r="BG144" s="205"/>
      <c r="BH144" s="205"/>
      <c r="BI144" s="233" t="s">
        <v>43</v>
      </c>
      <c r="BJ144" s="205" t="s">
        <v>185</v>
      </c>
      <c r="BK144" s="205" t="s">
        <v>186</v>
      </c>
      <c r="BL144" s="205" t="s">
        <v>133</v>
      </c>
      <c r="BM144" s="205" t="s">
        <v>64</v>
      </c>
      <c r="BN144" s="205"/>
      <c r="BO144" s="205"/>
      <c r="BP144" s="205"/>
      <c r="BQ144" s="234"/>
      <c r="BR144" s="205"/>
      <c r="BS144" s="203"/>
      <c r="BT144" s="203"/>
      <c r="BU144" s="203"/>
      <c r="BV144" s="203"/>
      <c r="BW144" s="203"/>
      <c r="BX144" s="203"/>
      <c r="BY144" s="203"/>
      <c r="BZ144" s="203"/>
      <c r="CA144" s="203"/>
      <c r="CB144" s="203"/>
      <c r="CC144" s="203"/>
      <c r="CD144" s="203"/>
      <c r="CE144" s="203"/>
      <c r="CF144" s="203"/>
      <c r="CG144" s="203"/>
      <c r="CH144" s="203"/>
      <c r="CI144" s="203"/>
      <c r="CJ144" s="203"/>
      <c r="CK144" s="203"/>
      <c r="CL144" s="203"/>
      <c r="CM144" s="203"/>
      <c r="CN144" s="203"/>
      <c r="CO144" s="498"/>
    </row>
    <row r="145" ht="18.75">
      <c r="A145" s="504"/>
      <c r="L145" s="205"/>
      <c r="M145" s="201"/>
      <c r="N145" s="219" t="s">
        <v>187</v>
      </c>
      <c r="O145" s="204"/>
      <c r="P145" s="205"/>
      <c r="Q145" s="370"/>
      <c r="R145" s="251">
        <f>Table1612677697[[#Totals],[اجمالي]]+Table1613687798[[#Totals],[اجمالي]]+Table13597192[[#Totals],[اجمالي]]+Table16627394[[#Totals],[اجمالي]]+Table15617293[[#Totals],[اجمالي]]+Table15880101[[#Totals],[اجمالي]]</f>
        <v>165590.52666666667</v>
      </c>
      <c r="S145" s="205"/>
      <c r="T145" s="205"/>
      <c r="U145" s="220"/>
      <c r="V145" s="240"/>
      <c r="W145" s="241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498"/>
      <c r="AU145" s="190"/>
      <c r="BG145" s="205"/>
      <c r="BH145" s="201"/>
      <c r="BI145" s="219" t="s">
        <v>187</v>
      </c>
      <c r="BJ145" s="204"/>
      <c r="BK145" s="205"/>
      <c r="BL145" s="370"/>
      <c r="BM145" s="25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100752.37666666666</v>
      </c>
      <c r="BN145" s="205"/>
      <c r="BO145" s="205"/>
      <c r="BP145" s="220"/>
      <c r="BQ145" s="240"/>
      <c r="BR145" s="241"/>
      <c r="BS145" s="203"/>
      <c r="BT145" s="203"/>
      <c r="BU145" s="203"/>
      <c r="BV145" s="203"/>
      <c r="BW145" s="203"/>
      <c r="BX145" s="203"/>
      <c r="BY145" s="203"/>
      <c r="BZ145" s="203"/>
      <c r="CA145" s="203"/>
      <c r="CB145" s="203"/>
      <c r="CC145" s="203"/>
      <c r="CD145" s="203"/>
      <c r="CE145" s="203"/>
      <c r="CF145" s="203"/>
      <c r="CG145" s="203"/>
      <c r="CH145" s="203"/>
      <c r="CI145" s="203"/>
      <c r="CJ145" s="203"/>
      <c r="CK145" s="203"/>
      <c r="CL145" s="203"/>
      <c r="CM145" s="203"/>
      <c r="CN145" s="203"/>
      <c r="CO145" s="498"/>
    </row>
    <row r="146" ht="18.75">
      <c r="A146" s="504"/>
      <c r="L146" s="205"/>
      <c r="M146" s="218"/>
      <c r="N146" s="219" t="s">
        <v>188</v>
      </c>
      <c r="O146" s="204"/>
      <c r="P146" s="205"/>
      <c r="Q146" s="242">
        <f>IF((Q141="المقطم"),0.3,IF((Q141="التجمع"),0.3,IF((Q141="الشيخ زايد"),0.3,IF((Q141="الاسكندرية"),0.5,0.35))))</f>
        <v>0.35</v>
      </c>
      <c r="R146" s="251">
        <f>R145*(1+Table187079100[[#This Row],[Column3]])</f>
        <v>223547.211</v>
      </c>
      <c r="S146" s="205"/>
      <c r="T146" s="205"/>
      <c r="U146" s="220"/>
      <c r="V146" s="240"/>
      <c r="W146" s="241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498"/>
      <c r="AU146" s="190"/>
      <c r="BG146" s="205"/>
      <c r="BH146" s="218"/>
      <c r="BI146" s="219" t="s">
        <v>188</v>
      </c>
      <c r="BJ146" s="204"/>
      <c r="BK146" s="205"/>
      <c r="BL146" s="242">
        <f>IF((BL141="المقطم"),0.3,IF((BL141="التجمع"),0.3,IF((BL141="الشيخ زايد"),0.3,IF((BL141="الاسكندرية"),0.5,0.35))))</f>
        <v>0.35</v>
      </c>
      <c r="BM146" s="251">
        <f>BM145*(1+Table187079100111[[#This Row],[Column3]])</f>
        <v>136015.7085</v>
      </c>
      <c r="BN146" s="205"/>
      <c r="BO146" s="205"/>
      <c r="BP146" s="220"/>
      <c r="BQ146" s="240"/>
      <c r="BR146" s="241"/>
      <c r="BS146" s="203"/>
      <c r="BT146" s="203"/>
      <c r="BU146" s="203"/>
      <c r="BV146" s="203"/>
      <c r="BW146" s="203"/>
      <c r="BX146" s="203"/>
      <c r="BY146" s="203"/>
      <c r="BZ146" s="203"/>
      <c r="CA146" s="203"/>
      <c r="CB146" s="203"/>
      <c r="CC146" s="203"/>
      <c r="CD146" s="203"/>
      <c r="CE146" s="203"/>
      <c r="CF146" s="203"/>
      <c r="CG146" s="203"/>
      <c r="CH146" s="203"/>
      <c r="CI146" s="203"/>
      <c r="CJ146" s="203"/>
      <c r="CK146" s="203"/>
      <c r="CL146" s="203"/>
      <c r="CM146" s="203"/>
      <c r="CN146" s="203"/>
      <c r="CO146" s="498"/>
    </row>
    <row r="147" ht="18.75">
      <c r="A147" s="504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498"/>
      <c r="AU147" s="190"/>
      <c r="BS147" s="203"/>
      <c r="BT147" s="203"/>
      <c r="BU147" s="203"/>
      <c r="BV147" s="203"/>
      <c r="BW147" s="203"/>
      <c r="BX147" s="203"/>
      <c r="BY147" s="203"/>
      <c r="BZ147" s="203"/>
      <c r="CA147" s="203"/>
      <c r="CB147" s="203"/>
      <c r="CC147" s="203"/>
      <c r="CD147" s="203"/>
      <c r="CE147" s="203"/>
      <c r="CF147" s="203"/>
      <c r="CG147" s="203"/>
      <c r="CH147" s="203"/>
      <c r="CI147" s="203"/>
      <c r="CJ147" s="203"/>
      <c r="CK147" s="203"/>
      <c r="CL147" s="203"/>
      <c r="CM147" s="203"/>
      <c r="CN147" s="203"/>
      <c r="CO147" s="498"/>
    </row>
    <row r="148" ht="19.5">
      <c r="A148" s="507"/>
      <c r="B148" s="508"/>
      <c r="C148" s="508"/>
      <c r="D148" s="508"/>
      <c r="E148" s="508"/>
      <c r="F148" s="508"/>
      <c r="G148" s="508"/>
      <c r="H148" s="508"/>
      <c r="I148" s="508"/>
      <c r="J148" s="508"/>
      <c r="K148" s="508"/>
      <c r="L148" s="508"/>
      <c r="M148" s="508"/>
      <c r="N148" s="508"/>
      <c r="O148" s="508"/>
      <c r="P148" s="508"/>
      <c r="Q148" s="508"/>
      <c r="R148" s="508"/>
      <c r="S148" s="508"/>
      <c r="T148" s="508"/>
      <c r="U148" s="508"/>
      <c r="V148" s="508"/>
      <c r="W148" s="508"/>
      <c r="X148" s="518"/>
      <c r="Y148" s="518"/>
      <c r="Z148" s="518"/>
      <c r="AA148" s="518"/>
      <c r="AB148" s="518"/>
      <c r="AC148" s="518"/>
      <c r="AD148" s="518"/>
      <c r="AE148" s="518"/>
      <c r="AF148" s="518"/>
      <c r="AG148" s="518"/>
      <c r="AH148" s="518"/>
      <c r="AI148" s="518"/>
      <c r="AJ148" s="518"/>
      <c r="AK148" s="518"/>
      <c r="AL148" s="518"/>
      <c r="AM148" s="518"/>
      <c r="AN148" s="518"/>
      <c r="AO148" s="518"/>
      <c r="AP148" s="518"/>
      <c r="AQ148" s="518"/>
      <c r="AR148" s="518"/>
      <c r="AS148" s="518"/>
      <c r="AT148" s="519"/>
      <c r="AU148" s="190"/>
      <c r="BB148" s="508"/>
      <c r="BC148" s="508"/>
      <c r="BD148" s="508"/>
      <c r="BE148" s="508"/>
      <c r="BF148" s="508"/>
      <c r="BG148" s="508"/>
      <c r="BH148" s="508"/>
      <c r="BI148" s="508"/>
      <c r="BJ148" s="508"/>
      <c r="BK148" s="508"/>
      <c r="BL148" s="508"/>
      <c r="BM148" s="508"/>
      <c r="BN148" s="508"/>
      <c r="BO148" s="508"/>
      <c r="BP148" s="508"/>
      <c r="BQ148" s="508"/>
      <c r="BR148" s="508"/>
      <c r="BS148" s="518"/>
      <c r="BT148" s="518"/>
      <c r="BU148" s="518"/>
      <c r="BV148" s="518"/>
      <c r="BW148" s="518"/>
      <c r="BX148" s="518"/>
      <c r="BY148" s="518"/>
      <c r="BZ148" s="518"/>
      <c r="CA148" s="518"/>
      <c r="CB148" s="518"/>
      <c r="CC148" s="518"/>
      <c r="CD148" s="518"/>
      <c r="CE148" s="518"/>
      <c r="CF148" s="518"/>
      <c r="CG148" s="518"/>
      <c r="CH148" s="518"/>
      <c r="CI148" s="518"/>
      <c r="CJ148" s="518"/>
      <c r="CK148" s="518"/>
      <c r="CL148" s="518"/>
      <c r="CM148" s="518"/>
      <c r="CN148" s="518"/>
      <c r="CO148" s="519"/>
    </row>
    <row r="149"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</row>
    <row r="150"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</row>
    <row r="151"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</row>
    <row r="152"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</row>
    <row r="153"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</row>
    <row r="154"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</row>
    <row r="155"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</row>
    <row r="156"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V156" s="190"/>
      <c r="AW156" s="190"/>
      <c r="AX156" s="190"/>
      <c r="AY156" s="190"/>
      <c r="AZ156" s="190"/>
      <c r="BA156" s="190"/>
    </row>
    <row r="157"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V157" s="190"/>
      <c r="AW157" s="190"/>
      <c r="AX157" s="190"/>
      <c r="AY157" s="190"/>
      <c r="AZ157" s="190"/>
      <c r="BA157" s="190"/>
    </row>
    <row r="158"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V158" s="190"/>
      <c r="AW158" s="190"/>
      <c r="AX158" s="190"/>
      <c r="AY158" s="190"/>
      <c r="AZ158" s="190"/>
      <c r="BA158" s="190"/>
    </row>
    <row r="159"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V159" s="190"/>
      <c r="AW159" s="190"/>
      <c r="AX159" s="190"/>
      <c r="AY159" s="190"/>
      <c r="AZ159" s="190"/>
      <c r="BA159" s="190"/>
    </row>
    <row r="160"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V160" s="190"/>
      <c r="AW160" s="190"/>
      <c r="AX160" s="190"/>
      <c r="AY160" s="190"/>
      <c r="AZ160" s="190"/>
      <c r="BA160" s="190"/>
    </row>
    <row r="161"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V161" s="190"/>
      <c r="AW161" s="190"/>
      <c r="AX161" s="190"/>
      <c r="AY161" s="190"/>
      <c r="AZ161" s="190"/>
      <c r="BA161" s="190"/>
    </row>
    <row r="162"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V162" s="190"/>
      <c r="AW162" s="190"/>
      <c r="AX162" s="190"/>
      <c r="AY162" s="190"/>
      <c r="AZ162" s="190"/>
      <c r="BA162" s="190"/>
    </row>
    <row r="163"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</row>
    <row r="164"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</row>
    <row r="165"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</row>
    <row r="166">
      <c r="X166" s="190"/>
      <c r="Y166" s="190"/>
      <c r="Z166" s="190"/>
      <c r="AA166" s="190"/>
      <c r="AB166" s="190"/>
      <c r="AC166" s="190"/>
      <c r="AD166" s="190"/>
      <c r="AE166" s="190"/>
      <c r="AF166" s="190"/>
      <c r="AG166" s="190"/>
      <c r="AH166" s="190"/>
      <c r="AI166" s="190"/>
      <c r="AJ166" s="190"/>
      <c r="AK166" s="190"/>
      <c r="AL166" s="190"/>
      <c r="AM166" s="190"/>
      <c r="AN166" s="190"/>
      <c r="AO166" s="190"/>
      <c r="AP166" s="190"/>
      <c r="AQ166" s="190"/>
      <c r="AR166" s="190"/>
      <c r="AS166" s="190"/>
      <c r="AT166" s="190"/>
      <c r="AU166" s="190"/>
      <c r="AV166" s="190"/>
      <c r="AW166" s="190"/>
      <c r="AX166" s="190"/>
      <c r="AY166" s="190"/>
      <c r="AZ166" s="190"/>
      <c r="BA166" s="190"/>
      <c r="BB166" s="190"/>
    </row>
    <row r="167"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</row>
    <row r="168"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</row>
    <row r="169"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</row>
    <row r="170"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</row>
    <row r="171"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</row>
    <row r="172"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</row>
    <row r="173">
      <c r="AN173" s="190"/>
      <c r="AO173" s="190"/>
      <c r="AP173" s="190"/>
      <c r="AQ173" s="190"/>
      <c r="AR173" s="190"/>
      <c r="AS173" s="190"/>
      <c r="AT173" s="190"/>
      <c r="AU173" s="190"/>
      <c r="BB173" s="190"/>
    </row>
    <row r="174">
      <c r="AN174" s="190"/>
      <c r="AO174" s="190"/>
      <c r="AP174" s="190"/>
      <c r="AQ174" s="190"/>
      <c r="AR174" s="190"/>
      <c r="AS174" s="190"/>
      <c r="AT174" s="190"/>
      <c r="AU174" s="190"/>
      <c r="BB174" s="190"/>
    </row>
    <row r="175">
      <c r="AN175" s="190"/>
      <c r="AO175" s="190"/>
      <c r="AP175" s="190"/>
      <c r="AQ175" s="190"/>
      <c r="AR175" s="190"/>
      <c r="AS175" s="190"/>
      <c r="AT175" s="190"/>
      <c r="AU175" s="190"/>
      <c r="BB175" s="190"/>
    </row>
    <row r="176">
      <c r="AN176" s="190"/>
      <c r="AO176" s="190"/>
      <c r="AP176" s="190"/>
      <c r="AQ176" s="190"/>
      <c r="AR176" s="190"/>
      <c r="AS176" s="190"/>
      <c r="AT176" s="190"/>
      <c r="AU176" s="190"/>
      <c r="BB176" s="190"/>
    </row>
    <row r="177">
      <c r="AN177" s="190"/>
      <c r="AO177" s="190"/>
      <c r="AP177" s="190"/>
      <c r="AQ177" s="190"/>
      <c r="AR177" s="190"/>
      <c r="AS177" s="190"/>
      <c r="AT177" s="190"/>
      <c r="AU177" s="190"/>
      <c r="BB177" s="190"/>
    </row>
    <row r="178">
      <c r="AN178" s="190"/>
      <c r="AO178" s="190"/>
      <c r="AP178" s="190"/>
      <c r="AQ178" s="190"/>
      <c r="AR178" s="190"/>
      <c r="AS178" s="190"/>
      <c r="AT178" s="190"/>
      <c r="AU178" s="190"/>
      <c r="BB178" s="190"/>
    </row>
    <row r="179">
      <c r="AN179" s="190"/>
      <c r="AO179" s="190"/>
      <c r="AP179" s="190"/>
      <c r="AQ179" s="190"/>
      <c r="AR179" s="190"/>
      <c r="AS179" s="190"/>
      <c r="AT179" s="190"/>
      <c r="AU179" s="190"/>
      <c r="BB179" s="190"/>
    </row>
  </sheetData>
  <mergeCells>
    <mergeCell ref="BJ100:BO100"/>
    <mergeCell ref="BJ122:BO122"/>
    <mergeCell ref="BJ127:BO127"/>
    <mergeCell ref="BJ143:BO143"/>
    <mergeCell ref="H9:J9"/>
    <mergeCell ref="BG77:BH77"/>
    <mergeCell ref="BM77:BO77"/>
    <mergeCell ref="BJ78:BO78"/>
    <mergeCell ref="BJ86:BO86"/>
    <mergeCell ref="BJ94:BO94"/>
    <mergeCell ref="BJ26:BO26"/>
    <mergeCell ref="BJ48:BO48"/>
    <mergeCell ref="BJ53:BO53"/>
    <mergeCell ref="BJ69:BO69"/>
    <mergeCell ref="BG75:BI76"/>
    <mergeCell ref="O20:T20"/>
    <mergeCell ref="BJ20:BO20"/>
    <mergeCell ref="L1:N2"/>
    <mergeCell ref="L3:M3"/>
    <mergeCell ref="R3:T3"/>
    <mergeCell ref="O4:T4"/>
    <mergeCell ref="O12:T12"/>
    <mergeCell ref="BG1:BI2"/>
    <mergeCell ref="BG3:BH3"/>
    <mergeCell ref="BM3:BO3"/>
    <mergeCell ref="BJ4:BO4"/>
    <mergeCell ref="BJ12:BO12"/>
    <mergeCell ref="L75:N76"/>
    <mergeCell ref="L77:M77"/>
    <mergeCell ref="R77:T77"/>
    <mergeCell ref="O78:T78"/>
    <mergeCell ref="O26:T26"/>
    <mergeCell ref="O48:T48"/>
    <mergeCell ref="O53:T53"/>
    <mergeCell ref="O69:T69"/>
    <mergeCell ref="O143:T143"/>
    <mergeCell ref="O86:T86"/>
    <mergeCell ref="O94:T94"/>
    <mergeCell ref="O100:T100"/>
    <mergeCell ref="O122:T122"/>
    <mergeCell ref="O127:T127"/>
  </mergeCells>
  <dataValidations disablePrompts="1" count="1">
    <dataValidation type="list" allowBlank="1" showInputMessage="1" showErrorMessage="1" sqref="R55:R67 R129:R141 BM55:BM67 BM129:BM141" xr:uid="{A45B69A4-75F8-4A77-BB84-FFAF657B1565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6"/>
  <sheetViews>
    <sheetView rightToLeft="1" view="pageBreakPreview" topLeftCell="A58" zoomScale="70" zoomScaleNormal="90" zoomScaleSheetLayoutView="70" zoomScalePageLayoutView="90" workbookViewId="0">
      <selection activeCell="F69" sqref="F69"/>
    </sheetView>
  </sheetViews>
  <sheetFormatPr defaultColWidth="9.140625" defaultRowHeight="15"/>
  <cols>
    <col min="1" max="1" width="8.42578125" customWidth="1" style="190"/>
    <col min="2" max="2" bestFit="1" width="10.5703125" customWidth="1" style="190"/>
    <col min="3" max="3" width="45.28515625" customWidth="1" style="139"/>
    <col min="4" max="4" width="17.5703125" customWidth="1" style="190"/>
    <col min="5" max="5" width="15.42578125" customWidth="1" style="190"/>
    <col min="6" max="6" width="16.42578125" customWidth="1" style="190"/>
    <col min="7" max="7" width="15.28515625" customWidth="1" style="193"/>
    <col min="8" max="8" width="14.7109375" customWidth="1" style="196"/>
    <col min="9" max="9" width="12.140625" customWidth="1" style="193"/>
    <col min="10" max="10" width="22.42578125" customWidth="1" style="193"/>
    <col min="11" max="11" width="15.85546875" customWidth="1" style="193"/>
    <col min="12" max="12" width="8" customWidth="1" style="193"/>
    <col min="13" max="13" width="9.140625" customWidth="1" style="190"/>
    <col min="14" max="14" width="17.85546875" customWidth="1" style="190"/>
    <col min="15" max="21" width="9.140625" customWidth="1" style="190"/>
    <col min="22" max="16384" width="9.140625" customWidth="1" style="190"/>
  </cols>
  <sheetData>
    <row r="1" ht="16.5" customHeight="1">
      <c r="A1" s="621" t="s">
        <v>34</v>
      </c>
      <c r="B1" s="622"/>
      <c r="C1" s="623"/>
      <c r="D1" s="207" t="s">
        <v>35</v>
      </c>
      <c r="E1" s="208" t="s">
        <v>36</v>
      </c>
      <c r="F1" s="171" t="s">
        <v>37</v>
      </c>
      <c r="G1" s="213" t="s">
        <v>38</v>
      </c>
      <c r="H1" s="213" t="s">
        <v>39</v>
      </c>
      <c r="I1" s="213" t="s">
        <v>40</v>
      </c>
      <c r="J1" s="213" t="s">
        <v>41</v>
      </c>
      <c r="K1" s="212" t="s">
        <v>42</v>
      </c>
      <c r="N1" s="190" t="s">
        <v>43</v>
      </c>
      <c r="O1" s="190" t="s">
        <v>44</v>
      </c>
      <c r="P1" s="190" t="s">
        <v>45</v>
      </c>
      <c r="Q1" s="190" t="s">
        <v>46</v>
      </c>
      <c r="R1" s="190" t="s">
        <v>47</v>
      </c>
      <c r="S1" s="190" t="s">
        <v>48</v>
      </c>
      <c r="T1" s="190" t="s">
        <v>49</v>
      </c>
    </row>
    <row r="2" ht="16.5" customHeight="1">
      <c r="A2" s="624"/>
      <c r="B2" s="625"/>
      <c r="C2" s="626"/>
      <c r="D2" s="209"/>
      <c r="E2" s="210"/>
      <c r="F2" s="194">
        <f>D2*E2</f>
        <v>0</v>
      </c>
      <c r="G2" s="214" t="e">
        <f>G82/F2</f>
        <v>#DIV/0!</v>
      </c>
      <c r="H2" s="217">
        <f>Sheet2!B12</f>
        <v>46000</v>
      </c>
      <c r="I2" s="200">
        <f>Sheet2!B13</f>
        <v>57000</v>
      </c>
      <c r="J2" s="199">
        <f>Sheet2!B14</f>
        <v>152000</v>
      </c>
      <c r="K2" s="199">
        <f>Sheet2!B15</f>
        <v>40000</v>
      </c>
      <c r="N2" s="203" t="s">
        <v>50</v>
      </c>
      <c r="O2" s="203">
        <v>0</v>
      </c>
      <c r="P2" s="203">
        <v>0</v>
      </c>
      <c r="Q2" s="203">
        <v>0</v>
      </c>
      <c r="R2" s="203">
        <v>500</v>
      </c>
      <c r="S2" s="203">
        <v>1000</v>
      </c>
      <c r="T2" s="203">
        <v>0</v>
      </c>
    </row>
    <row r="3" ht="29.25" customHeight="1">
      <c r="A3" s="627" t="s">
        <v>51</v>
      </c>
      <c r="B3" s="628"/>
      <c r="C3" s="215"/>
      <c r="F3" s="211" t="s">
        <v>52</v>
      </c>
      <c r="G3" s="631">
        <f>NOW()</f>
        <v>45133.622111365738</v>
      </c>
      <c r="H3" s="632"/>
      <c r="I3" s="632"/>
      <c r="J3" s="216"/>
      <c r="K3" s="216"/>
      <c r="L3" s="216"/>
      <c r="N3" s="203" t="s">
        <v>53</v>
      </c>
      <c r="O3" s="203">
        <v>60</v>
      </c>
      <c r="P3" s="203">
        <v>120</v>
      </c>
      <c r="Q3" s="203">
        <v>75</v>
      </c>
      <c r="R3" s="203">
        <v>900</v>
      </c>
      <c r="S3" s="203">
        <v>1600</v>
      </c>
      <c r="T3" s="203">
        <v>300</v>
      </c>
    </row>
    <row r="4" ht="18.75" customHeight="1">
      <c r="A4" s="191"/>
      <c r="B4" s="191"/>
      <c r="C4" s="197"/>
      <c r="D4" s="629" t="s">
        <v>54</v>
      </c>
      <c r="E4" s="629"/>
      <c r="F4" s="629"/>
      <c r="G4" s="629"/>
      <c r="H4" s="629"/>
      <c r="I4" s="629"/>
      <c r="J4" s="198"/>
      <c r="K4" s="198"/>
      <c r="L4" s="198"/>
      <c r="N4" s="203" t="s">
        <v>55</v>
      </c>
      <c r="O4" s="203">
        <v>120</v>
      </c>
      <c r="P4" s="203">
        <v>200</v>
      </c>
      <c r="Q4" s="203">
        <v>75</v>
      </c>
      <c r="R4" s="203">
        <v>1100</v>
      </c>
      <c r="S4" s="203">
        <v>2000</v>
      </c>
      <c r="T4" s="203">
        <v>100</v>
      </c>
      <c r="U4" s="190" t="s">
        <v>56</v>
      </c>
      <c r="V4" s="190" t="s">
        <v>57</v>
      </c>
      <c r="W4" s="190" t="s">
        <v>58</v>
      </c>
      <c r="X4" s="190" t="s">
        <v>59</v>
      </c>
      <c r="Y4" s="190" t="s">
        <v>60</v>
      </c>
    </row>
    <row r="5" ht="24.75" customHeight="1">
      <c r="A5" s="191" t="s">
        <v>61</v>
      </c>
      <c r="B5" s="191" t="s">
        <v>62</v>
      </c>
      <c r="C5" s="189" t="s">
        <v>63</v>
      </c>
      <c r="D5" s="191" t="s">
        <v>64</v>
      </c>
      <c r="E5" s="191" t="s">
        <v>43</v>
      </c>
      <c r="F5" s="191" t="s">
        <v>65</v>
      </c>
      <c r="G5" s="192" t="s">
        <v>66</v>
      </c>
      <c r="H5" s="192" t="s">
        <v>67</v>
      </c>
      <c r="I5" s="192" t="s">
        <v>68</v>
      </c>
      <c r="J5" s="192" t="s">
        <v>69</v>
      </c>
      <c r="K5" s="195" t="s">
        <v>70</v>
      </c>
      <c r="L5" s="192" t="s">
        <v>71</v>
      </c>
      <c r="N5" s="203" t="s">
        <v>72</v>
      </c>
      <c r="O5" s="203">
        <v>100</v>
      </c>
      <c r="P5" s="203">
        <v>250</v>
      </c>
      <c r="Q5" s="203">
        <v>75</v>
      </c>
      <c r="R5" s="203">
        <v>1200</v>
      </c>
      <c r="S5" s="203">
        <v>2000</v>
      </c>
      <c r="T5" s="203">
        <v>100</v>
      </c>
      <c r="U5" s="190" t="s">
        <v>73</v>
      </c>
      <c r="V5" s="193" t="s">
        <v>74</v>
      </c>
      <c r="W5" s="193">
        <v>0.4</v>
      </c>
      <c r="X5" s="192" t="s">
        <v>75</v>
      </c>
      <c r="Y5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4.144000000000001</v>
      </c>
    </row>
    <row r="6" ht="24.75" customHeight="1" s="203" customFormat="1">
      <c r="A6" s="205">
        <v>1</v>
      </c>
      <c r="B6" s="218">
        <f>IF((Sheet2!H3="A1"),2,IF((Sheet2!H3="A2"),3,IF((Sheet2!H3="A3"),4,IF((Sheet2!H3="B1"),5,IF((Sheet2!H3="B2"),8,IF((Sheet2!H3="B3"),10,IF((Sheet2!H3="C1"),2,IF((Sheet2!H3="C2"),3,IF((Sheet2!H3="C3"),4,IF((Sheet2!H3="D1"),5,IF((Sheet2!H3="D2"),8,IF((Sheet2!H3="D3"),10,0))))))))))))</f>
        <v>2</v>
      </c>
      <c r="C6" s="224" t="s">
        <v>76</v>
      </c>
      <c r="D6" s="204">
        <v>0.03</v>
      </c>
      <c r="E6" s="204">
        <v>0.03</v>
      </c>
      <c r="F6" s="204">
        <f>(Table1[[#This Row],[Column1]]+Table1[[#This Row],[Column2]])*12*Table1[[#This Row],[عدد]]</f>
        <v>1.44</v>
      </c>
      <c r="G6" s="226" t="s">
        <v>77</v>
      </c>
      <c r="H6" s="205">
        <v>8.5</v>
      </c>
      <c r="I6" s="205"/>
      <c r="J6" s="220">
        <f>H6*$H$2/1000</f>
        <v>391</v>
      </c>
      <c r="K6" s="221">
        <f>B6*J6</f>
        <v>782</v>
      </c>
      <c r="L6" s="222">
        <f>(K6)/$G$81</f>
        <v>0.0057153072819490051</v>
      </c>
      <c r="N6" s="203" t="s">
        <v>78</v>
      </c>
      <c r="O6" s="203">
        <v>100</v>
      </c>
      <c r="P6" s="203">
        <v>100</v>
      </c>
      <c r="Q6" s="203">
        <v>75</v>
      </c>
      <c r="R6" s="203">
        <v>1250</v>
      </c>
      <c r="S6" s="203">
        <v>2000</v>
      </c>
      <c r="T6" s="203">
        <v>100</v>
      </c>
      <c r="V6" s="203" t="s">
        <v>79</v>
      </c>
      <c r="W6" s="203">
        <v>0.25</v>
      </c>
      <c r="X6" s="203" t="s">
        <v>80</v>
      </c>
      <c r="Y6" s="203">
        <f>Y5*Table6[[#This Row],[المعدل]]+4</f>
        <v>5.0360000000000005</v>
      </c>
    </row>
    <row r="7" ht="24.75" customHeight="1" s="203" customFormat="1">
      <c r="A7" s="205">
        <v>2</v>
      </c>
      <c r="B7" s="245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24" t="s">
        <v>81</v>
      </c>
      <c r="D7" s="225">
        <v>0.1</v>
      </c>
      <c r="E7" s="225">
        <v>0.1</v>
      </c>
      <c r="F7" s="248">
        <f>(Table1[[#This Row],[Column1]]+Table1[[#This Row],[Column2]])*12*Table1[[#This Row],[عدد]]</f>
        <v>4.8000000000000007</v>
      </c>
      <c r="G7" s="226" t="s">
        <v>77</v>
      </c>
      <c r="H7" s="244">
        <v>46.75</v>
      </c>
      <c r="I7" s="244"/>
      <c r="J7" s="220">
        <f>H7*$H$2/1000</f>
        <v>2150.5</v>
      </c>
      <c r="K7" s="247">
        <f>B7*J7</f>
        <v>4301</v>
      </c>
      <c r="L7" s="222">
        <f>(K7)/$G$81</f>
        <v>0.031434190050719527</v>
      </c>
      <c r="N7" s="203" t="s">
        <v>82</v>
      </c>
      <c r="O7" s="203">
        <v>75</v>
      </c>
      <c r="P7" s="203">
        <v>100</v>
      </c>
      <c r="Q7" s="203">
        <v>75</v>
      </c>
      <c r="R7" s="203">
        <v>1500</v>
      </c>
      <c r="S7" s="203">
        <v>3000</v>
      </c>
      <c r="T7" s="203">
        <v>250</v>
      </c>
      <c r="V7" s="203" t="s">
        <v>83</v>
      </c>
      <c r="W7" s="203">
        <v>0.25</v>
      </c>
      <c r="X7" s="205" t="s">
        <v>84</v>
      </c>
      <c r="Y7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2.5900000000000003</v>
      </c>
    </row>
    <row r="8" ht="24.75" customHeight="1" s="203" customFormat="1">
      <c r="A8" s="205">
        <v>3</v>
      </c>
      <c r="B8" s="245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24" t="s">
        <v>85</v>
      </c>
      <c r="D8" s="225">
        <v>0.15</v>
      </c>
      <c r="E8" s="225">
        <v>0.05</v>
      </c>
      <c r="F8" s="248">
        <f>(Table1[[#This Row],[Column1]]+Table1[[#This Row],[Column2]])*12*Table1[[#This Row],[عدد]]</f>
        <v>2.4000000000000004</v>
      </c>
      <c r="G8" s="205" t="s">
        <v>77</v>
      </c>
      <c r="H8" s="244">
        <v>56</v>
      </c>
      <c r="I8" s="244"/>
      <c r="J8" s="220">
        <f>H8*$H$2/1000</f>
        <v>2576</v>
      </c>
      <c r="K8" s="247">
        <f>B8*J8</f>
        <v>2576</v>
      </c>
      <c r="L8" s="222">
        <f>(K8)/$G$81</f>
        <v>0.018826894575832018</v>
      </c>
      <c r="N8" s="203" t="s">
        <v>86</v>
      </c>
      <c r="O8" s="203">
        <v>30</v>
      </c>
      <c r="P8" s="203">
        <v>30</v>
      </c>
      <c r="Q8" s="203">
        <v>75</v>
      </c>
      <c r="R8" s="203">
        <v>600</v>
      </c>
      <c r="S8" s="203">
        <v>1100</v>
      </c>
      <c r="T8" s="203">
        <v>150</v>
      </c>
      <c r="V8" s="203" t="s">
        <v>87</v>
      </c>
      <c r="W8" s="203">
        <v>0.4</v>
      </c>
      <c r="X8" s="205" t="s">
        <v>84</v>
      </c>
      <c r="Y8" s="203">
        <f>IF((تسعير!T5="A"),IF(((Table1[[#Totals],[المسطح]]+Table14[[#Totals],[Column12]]+Table16[[#Totals],[Column12]])&gt;0),(Table1[[#Totals],[المسطح]]+Table14[[#Totals],[Column12]]+Table16[[#Totals],[Column12]]+1)*Table6[[#This Row],[المعدل]]),0)</f>
        <v>4.144000000000001</v>
      </c>
    </row>
    <row r="9" ht="24.75" customHeight="1" s="203" customFormat="1">
      <c r="A9" s="205"/>
      <c r="B9" s="218"/>
      <c r="C9" s="219" t="s">
        <v>88</v>
      </c>
      <c r="D9" s="204"/>
      <c r="E9" s="204"/>
      <c r="F9" s="203">
        <f>SUBTOTAL(109,Table1[المسطح])</f>
        <v>8.64</v>
      </c>
      <c r="G9" s="205"/>
      <c r="H9" s="205">
        <f>(H6*B6)+(H8*B8)+(H7*B7)</f>
        <v>166.5</v>
      </c>
      <c r="I9" s="266"/>
      <c r="J9" s="226"/>
      <c r="K9" s="221">
        <f>SUBTOTAL(109,Table1[اجمالي])</f>
        <v>7659</v>
      </c>
      <c r="L9" s="243">
        <f>Table1[[#Totals],[اجمالي]]/$G$81</f>
        <v>0.055976391908500553</v>
      </c>
      <c r="N9" s="203" t="s">
        <v>89</v>
      </c>
      <c r="O9" s="203">
        <v>50</v>
      </c>
      <c r="P9" s="203">
        <v>50</v>
      </c>
      <c r="Q9" s="203">
        <v>75</v>
      </c>
      <c r="R9" s="203">
        <v>900</v>
      </c>
      <c r="S9" s="203">
        <v>1600</v>
      </c>
      <c r="T9" s="203">
        <v>150</v>
      </c>
      <c r="V9" s="203" t="s">
        <v>90</v>
      </c>
      <c r="X9" s="203" t="s">
        <v>91</v>
      </c>
    </row>
    <row r="10" ht="21" customHeight="1" s="203" customFormat="1">
      <c r="C10" s="231"/>
      <c r="D10" s="629" t="s">
        <v>92</v>
      </c>
      <c r="E10" s="629"/>
      <c r="F10" s="629"/>
      <c r="G10" s="629"/>
      <c r="H10" s="629"/>
      <c r="I10" s="629"/>
      <c r="L10" s="232"/>
      <c r="N10" s="203" t="s">
        <v>93</v>
      </c>
      <c r="O10" s="203">
        <v>50</v>
      </c>
      <c r="P10" s="203">
        <v>50</v>
      </c>
      <c r="Q10" s="203">
        <v>75</v>
      </c>
      <c r="R10" s="203">
        <v>900</v>
      </c>
      <c r="S10" s="203">
        <v>1600</v>
      </c>
      <c r="T10" s="203">
        <v>150</v>
      </c>
      <c r="V10" s="219" t="s">
        <v>94</v>
      </c>
      <c r="W10" s="203">
        <v>0.6</v>
      </c>
      <c r="Y10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1" ht="21" customHeight="1" s="203" customFormat="1">
      <c r="A11" s="205" t="s">
        <v>61</v>
      </c>
      <c r="B11" s="205" t="s">
        <v>62</v>
      </c>
      <c r="C11" s="233" t="s">
        <v>63</v>
      </c>
      <c r="D11" s="205" t="s">
        <v>64</v>
      </c>
      <c r="E11" s="205" t="s">
        <v>43</v>
      </c>
      <c r="F11" s="205" t="s">
        <v>95</v>
      </c>
      <c r="G11" s="205" t="s">
        <v>66</v>
      </c>
      <c r="H11" s="205" t="s">
        <v>67</v>
      </c>
      <c r="I11" s="192" t="s">
        <v>68</v>
      </c>
      <c r="J11" s="205" t="s">
        <v>69</v>
      </c>
      <c r="K11" s="234" t="s">
        <v>70</v>
      </c>
      <c r="L11" s="205" t="s">
        <v>71</v>
      </c>
      <c r="N11" s="203" t="s">
        <v>96</v>
      </c>
      <c r="O11" s="203">
        <v>75</v>
      </c>
      <c r="P11" s="203">
        <v>50</v>
      </c>
      <c r="Q11" s="203">
        <v>75</v>
      </c>
      <c r="R11" s="203">
        <v>900</v>
      </c>
      <c r="S11" s="203">
        <v>1600</v>
      </c>
      <c r="T11" s="203">
        <v>150</v>
      </c>
      <c r="V11" s="233" t="s">
        <v>97</v>
      </c>
      <c r="Y11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2" ht="21" customHeight="1" s="203" customFormat="1">
      <c r="A12" s="244">
        <v>5</v>
      </c>
      <c r="B12" s="245">
        <f>IF((تسعير!X8&lt;800),0,IF(AND((تسعير!X8&gt;800),(600&lt;تسعير!AA10)),1,0))</f>
        <v>0</v>
      </c>
      <c r="C12" s="219" t="s">
        <v>98</v>
      </c>
      <c r="D12" s="246">
        <v>0.14</v>
      </c>
      <c r="E12" s="246">
        <v>0.14</v>
      </c>
      <c r="F12" s="204">
        <f>(Table14[[#This Row],[Column1]]+Table14[[#This Row],[Column2]])*24*Table14[[#This Row],[عدد]]</f>
        <v>0</v>
      </c>
      <c r="G12" s="205" t="s">
        <v>99</v>
      </c>
      <c r="H12" s="244">
        <v>202</v>
      </c>
      <c r="I12" s="244">
        <f>Table14[[#This Row],[Column12]]*Table14[[#This Row],[عدد]]</f>
        <v>0</v>
      </c>
      <c r="J12" s="220">
        <f ref="J12:J13" t="shared" si="0">H12*$I$2/1000</f>
        <v>11514</v>
      </c>
      <c r="K12" s="221">
        <f ref="K12:K13" t="shared" si="1">B12*J12</f>
        <v>0</v>
      </c>
      <c r="L12" s="222">
        <f>(K12)/$G$81</f>
        <v>0</v>
      </c>
      <c r="N12" s="203" t="s">
        <v>100</v>
      </c>
      <c r="O12" s="203">
        <v>75</v>
      </c>
      <c r="P12" s="203">
        <v>50</v>
      </c>
      <c r="Q12" s="203">
        <v>75</v>
      </c>
      <c r="R12" s="203">
        <v>900</v>
      </c>
      <c r="S12" s="203">
        <v>1600</v>
      </c>
      <c r="T12" s="203">
        <v>150</v>
      </c>
      <c r="V12" s="233" t="s">
        <v>101</v>
      </c>
      <c r="W12" s="203">
        <v>0.6</v>
      </c>
      <c r="Y12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03" customFormat="1">
      <c r="A13" s="244">
        <v>6</v>
      </c>
      <c r="B13" s="245">
        <f>IF((تسعير!X8&lt;800),0,IF(AND((تسعير!X8&gt;800),(600&gt;=تسعير!AA10)),1,0))</f>
        <v>0</v>
      </c>
      <c r="C13" s="219" t="s">
        <v>102</v>
      </c>
      <c r="D13" s="246">
        <v>0.14</v>
      </c>
      <c r="E13" s="246">
        <v>0.14</v>
      </c>
      <c r="F13" s="246">
        <f>(Table14[[#This Row],[Column1]]+Table14[[#This Row],[Column2]])*12*Table14[[#This Row],[عدد]]</f>
        <v>0</v>
      </c>
      <c r="G13" s="205" t="s">
        <v>77</v>
      </c>
      <c r="H13" s="244">
        <v>101</v>
      </c>
      <c r="I13" s="244">
        <f>Table14[[#This Row],[Column12]]*Table14[[#This Row],[عدد]]</f>
        <v>0</v>
      </c>
      <c r="J13" s="220">
        <f t="shared" si="0"/>
        <v>5757</v>
      </c>
      <c r="K13" s="221">
        <f t="shared" si="1"/>
        <v>0</v>
      </c>
      <c r="L13" s="222">
        <f>(K13)/$G$81</f>
        <v>0</v>
      </c>
      <c r="N13" s="203" t="s">
        <v>103</v>
      </c>
      <c r="O13" s="203">
        <v>75</v>
      </c>
      <c r="P13" s="203">
        <v>50</v>
      </c>
      <c r="Q13" s="203">
        <v>75</v>
      </c>
      <c r="R13" s="203">
        <v>900</v>
      </c>
      <c r="S13" s="203">
        <v>1600</v>
      </c>
      <c r="T13" s="203">
        <v>150</v>
      </c>
      <c r="V13" s="233" t="s">
        <v>104</v>
      </c>
      <c r="Y13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03" customFormat="1">
      <c r="A14" s="205" t="s">
        <v>88</v>
      </c>
      <c r="B14" s="218"/>
      <c r="C14" s="219" t="s">
        <v>88</v>
      </c>
      <c r="D14" s="204"/>
      <c r="E14" s="204"/>
      <c r="F14" s="204">
        <f>SUBTOTAL(109,Table14[Column12])</f>
        <v>0</v>
      </c>
      <c r="G14" s="205"/>
      <c r="H14" s="205">
        <f>H12*B12+H13*B13</f>
        <v>0</v>
      </c>
      <c r="I14" s="205"/>
      <c r="J14" s="250"/>
      <c r="K14" s="221">
        <f>SUBTOTAL(109,Table14[اجمالي])</f>
        <v>0</v>
      </c>
      <c r="L14" s="243">
        <f>Table14[[#Totals],[اجمالي]]/$G$81</f>
        <v>0</v>
      </c>
      <c r="N14" s="203" t="s">
        <v>105</v>
      </c>
      <c r="O14" s="203">
        <v>100</v>
      </c>
      <c r="P14" s="203">
        <v>50</v>
      </c>
      <c r="Q14" s="203">
        <v>75</v>
      </c>
      <c r="R14" s="203">
        <v>1000</v>
      </c>
      <c r="S14" s="203">
        <v>2000</v>
      </c>
      <c r="T14" s="203">
        <v>150</v>
      </c>
      <c r="V14" s="233" t="s">
        <v>106</v>
      </c>
      <c r="Y14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5" ht="21" customHeight="1" s="203" customFormat="1">
      <c r="C15" s="231"/>
      <c r="D15" s="629" t="s">
        <v>107</v>
      </c>
      <c r="E15" s="629"/>
      <c r="F15" s="629"/>
      <c r="G15" s="629"/>
      <c r="H15" s="629"/>
      <c r="I15" s="629"/>
      <c r="N15" s="203" t="s">
        <v>108</v>
      </c>
      <c r="O15" s="203">
        <v>120</v>
      </c>
      <c r="P15" s="203">
        <v>50</v>
      </c>
      <c r="Q15" s="203">
        <v>75</v>
      </c>
      <c r="R15" s="203">
        <v>1100</v>
      </c>
      <c r="S15" s="203">
        <v>2100</v>
      </c>
      <c r="T15" s="203">
        <v>200</v>
      </c>
      <c r="V15" s="233" t="s">
        <v>109</v>
      </c>
      <c r="W15" s="203">
        <v>0.1</v>
      </c>
      <c r="Y15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6" ht="21" customHeight="1" s="203" customFormat="1">
      <c r="A16" s="205" t="s">
        <v>61</v>
      </c>
      <c r="B16" s="205" t="s">
        <v>62</v>
      </c>
      <c r="C16" s="233" t="s">
        <v>63</v>
      </c>
      <c r="D16" s="205" t="s">
        <v>64</v>
      </c>
      <c r="E16" s="205" t="s">
        <v>43</v>
      </c>
      <c r="F16" s="205" t="s">
        <v>95</v>
      </c>
      <c r="G16" s="205" t="s">
        <v>66</v>
      </c>
      <c r="H16" s="205" t="s">
        <v>67</v>
      </c>
      <c r="I16" s="205" t="s">
        <v>110</v>
      </c>
      <c r="J16" s="205" t="s">
        <v>69</v>
      </c>
      <c r="K16" s="234" t="s">
        <v>70</v>
      </c>
      <c r="L16" s="205" t="s">
        <v>71</v>
      </c>
      <c r="N16" s="203" t="s">
        <v>111</v>
      </c>
      <c r="O16" s="203">
        <v>150</v>
      </c>
      <c r="P16" s="203">
        <v>50</v>
      </c>
      <c r="Q16" s="203">
        <v>75</v>
      </c>
      <c r="R16" s="203">
        <v>1300</v>
      </c>
      <c r="S16" s="203">
        <v>2200</v>
      </c>
      <c r="T16" s="203">
        <v>200</v>
      </c>
      <c r="V16" s="233" t="s">
        <v>112</v>
      </c>
      <c r="W16" s="203">
        <v>0.1</v>
      </c>
      <c r="Y16" s="203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7" ht="21" customHeight="1" s="203" customFormat="1">
      <c r="A17" s="205">
        <v>1</v>
      </c>
      <c r="B17" s="218">
        <f>IF((Sheet2!H3="A1"),1,IF((Sheet2!H3="A2"),1,IF((Sheet2!H3="A3"),1,IF((Sheet2!H3="B1"),2,IF((Sheet2!H3="B2"),2,IF((Sheet2!H3="B3"),2,IF((Sheet2!H3="C1"),2,IF((Sheet2!H3="C2"),2,IF((Sheet2!H3="C3"),2,IF((Sheet2!H3="D1"),3,IF((Sheet2!H3="D2"),3,IF((Sheet2!H3="D3"),3,0))))))))))))</f>
        <v>1</v>
      </c>
      <c r="C17" s="219" t="s">
        <v>113</v>
      </c>
      <c r="D17" s="204"/>
      <c r="E17" s="204"/>
      <c r="F17" s="204"/>
      <c r="G17" s="205" t="s">
        <v>114</v>
      </c>
      <c r="H17" s="205"/>
      <c r="I17" s="226"/>
      <c r="J17" s="230">
        <f>Sheet2!B28</f>
        <v>300</v>
      </c>
      <c r="K17" s="221">
        <f ref="K17:K26" t="shared" si="2">B17*J17</f>
        <v>300</v>
      </c>
      <c r="L17" s="222">
        <f ref="L17:L26" t="shared" si="3">(K17)/$G$81</f>
        <v>0.0021925731260673932</v>
      </c>
      <c r="N17" s="203" t="s">
        <v>115</v>
      </c>
      <c r="O17" s="203">
        <v>150</v>
      </c>
      <c r="P17" s="203">
        <v>50</v>
      </c>
      <c r="Q17" s="203">
        <v>75</v>
      </c>
      <c r="R17" s="203">
        <v>1200</v>
      </c>
      <c r="S17" s="203">
        <v>2300</v>
      </c>
      <c r="T17" s="203">
        <v>200</v>
      </c>
    </row>
    <row r="18" ht="21" customHeight="1" s="203" customFormat="1">
      <c r="A18" s="205">
        <v>2</v>
      </c>
      <c r="B18" s="201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9" t="s">
        <v>116</v>
      </c>
      <c r="D18" s="204"/>
      <c r="E18" s="204"/>
      <c r="F18" s="204"/>
      <c r="G18" s="205" t="s">
        <v>117</v>
      </c>
      <c r="H18" s="205"/>
      <c r="I18" s="226"/>
      <c r="J18" s="230">
        <v>250</v>
      </c>
      <c r="K18" s="221">
        <f t="shared" si="2"/>
        <v>500</v>
      </c>
      <c r="L18" s="222">
        <f t="shared" si="3"/>
        <v>0.0036542885434456556</v>
      </c>
      <c r="N18" s="203" t="s">
        <v>118</v>
      </c>
      <c r="O18" s="203">
        <v>500</v>
      </c>
      <c r="P18" s="203">
        <v>200</v>
      </c>
      <c r="Q18" s="203">
        <v>100</v>
      </c>
      <c r="R18" s="203">
        <v>2500</v>
      </c>
      <c r="S18" s="203">
        <v>4000</v>
      </c>
      <c r="T18" s="203">
        <v>300</v>
      </c>
    </row>
    <row r="19" ht="21" customHeight="1" s="203" customFormat="1">
      <c r="A19" s="205">
        <v>3</v>
      </c>
      <c r="B19" s="218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3</v>
      </c>
      <c r="C19" s="219" t="s">
        <v>119</v>
      </c>
      <c r="D19" s="204"/>
      <c r="E19" s="204"/>
      <c r="F19" s="204"/>
      <c r="G19" s="205" t="s">
        <v>62</v>
      </c>
      <c r="H19" s="205"/>
      <c r="I19" s="226"/>
      <c r="J19" s="230">
        <v>85</v>
      </c>
      <c r="K19" s="221">
        <f t="shared" si="2"/>
        <v>255</v>
      </c>
      <c r="L19" s="222">
        <f t="shared" si="3"/>
        <v>0.0018636871571572843</v>
      </c>
      <c r="N19" s="203" t="s">
        <v>120</v>
      </c>
      <c r="O19" s="203">
        <v>500</v>
      </c>
      <c r="P19" s="203">
        <v>200</v>
      </c>
      <c r="Q19" s="203">
        <v>100</v>
      </c>
      <c r="R19" s="203">
        <v>3500</v>
      </c>
      <c r="S19" s="203">
        <v>5000</v>
      </c>
      <c r="T19" s="203">
        <v>300</v>
      </c>
    </row>
    <row r="20" ht="21" customHeight="1" s="203" customFormat="1">
      <c r="A20" s="205">
        <v>4</v>
      </c>
      <c r="B20" s="201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9" t="s">
        <v>121</v>
      </c>
      <c r="D20" s="204"/>
      <c r="E20" s="204"/>
      <c r="F20" s="204"/>
      <c r="G20" s="205" t="s">
        <v>62</v>
      </c>
      <c r="H20" s="205"/>
      <c r="I20" s="226"/>
      <c r="J20" s="230">
        <v>75</v>
      </c>
      <c r="K20" s="221">
        <f t="shared" si="2"/>
        <v>75</v>
      </c>
      <c r="L20" s="222">
        <f t="shared" si="3"/>
        <v>0.00054814328151684831</v>
      </c>
      <c r="N20" s="203" t="s">
        <v>122</v>
      </c>
      <c r="O20" s="203">
        <v>550</v>
      </c>
      <c r="P20" s="203">
        <v>200</v>
      </c>
      <c r="Q20" s="203">
        <v>100</v>
      </c>
      <c r="R20" s="203">
        <v>4500</v>
      </c>
      <c r="S20" s="203">
        <v>6000</v>
      </c>
      <c r="T20" s="203">
        <v>300</v>
      </c>
    </row>
    <row r="21" ht="21" customHeight="1" s="203" customFormat="1">
      <c r="A21" s="205">
        <v>5</v>
      </c>
      <c r="B21" s="218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12</v>
      </c>
      <c r="C21" s="219" t="s">
        <v>123</v>
      </c>
      <c r="D21" s="204"/>
      <c r="E21" s="204"/>
      <c r="F21" s="204"/>
      <c r="G21" s="230" t="s">
        <v>124</v>
      </c>
      <c r="H21" s="230"/>
      <c r="I21" s="226"/>
      <c r="J21" s="230">
        <v>30</v>
      </c>
      <c r="K21" s="221">
        <f t="shared" si="2"/>
        <v>360</v>
      </c>
      <c r="L21" s="222">
        <f t="shared" si="3"/>
        <v>0.002631087751280872</v>
      </c>
    </row>
    <row r="22" ht="21" customHeight="1" s="203" customFormat="1">
      <c r="A22" s="205">
        <v>6</v>
      </c>
      <c r="B22" s="201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9" t="s">
        <v>125</v>
      </c>
      <c r="D22" s="204"/>
      <c r="E22" s="204"/>
      <c r="F22" s="204"/>
      <c r="G22" s="230" t="s">
        <v>126</v>
      </c>
      <c r="H22" s="230"/>
      <c r="I22" s="226"/>
      <c r="J22" s="230">
        <v>10</v>
      </c>
      <c r="K22" s="221">
        <f t="shared" si="2"/>
        <v>60</v>
      </c>
      <c r="L22" s="222">
        <f t="shared" si="3"/>
        <v>0.00043851462521347868</v>
      </c>
    </row>
    <row r="23" ht="21" customHeight="1" s="203" customFormat="1">
      <c r="A23" s="205">
        <v>7</v>
      </c>
      <c r="B23" s="218">
        <f>IF((Sheet2!H3="no"),0,(تسعير!AA10/100))</f>
        <v>4.5</v>
      </c>
      <c r="C23" s="224" t="s">
        <v>127</v>
      </c>
      <c r="D23" s="225"/>
      <c r="E23" s="225"/>
      <c r="F23" s="225"/>
      <c r="G23" s="235" t="s">
        <v>126</v>
      </c>
      <c r="H23" s="235"/>
      <c r="I23" s="235"/>
      <c r="J23" s="235">
        <f>Sheet2!B29</f>
        <v>400</v>
      </c>
      <c r="K23" s="221">
        <f t="shared" si="2"/>
        <v>1800</v>
      </c>
      <c r="L23" s="222">
        <f t="shared" si="3"/>
        <v>0.013155438756404361</v>
      </c>
    </row>
    <row r="24" ht="21" customHeight="1" s="203" customFormat="1">
      <c r="A24" s="205">
        <v>8</v>
      </c>
      <c r="B24" s="201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24" t="s">
        <v>128</v>
      </c>
      <c r="D24" s="225"/>
      <c r="E24" s="225"/>
      <c r="F24" s="225"/>
      <c r="G24" s="235" t="s">
        <v>129</v>
      </c>
      <c r="H24" s="235"/>
      <c r="I24" s="235"/>
      <c r="J24" s="235">
        <v>1</v>
      </c>
      <c r="K24" s="221">
        <f t="shared" si="2"/>
        <v>30</v>
      </c>
      <c r="L24" s="222">
        <f t="shared" si="3"/>
        <v>0.00021925731260673934</v>
      </c>
    </row>
    <row r="25" ht="21" customHeight="1" s="203" customFormat="1">
      <c r="A25" s="205">
        <v>15</v>
      </c>
      <c r="B25" s="218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0</v>
      </c>
      <c r="C25" s="219" t="s">
        <v>130</v>
      </c>
      <c r="D25" s="204"/>
      <c r="E25" s="204"/>
      <c r="F25" s="204"/>
      <c r="G25" s="205" t="s">
        <v>124</v>
      </c>
      <c r="H25" s="205"/>
      <c r="I25" s="226"/>
      <c r="J25" s="220">
        <f>Sheet2!B30</f>
        <v>400</v>
      </c>
      <c r="K25" s="221">
        <f t="shared" si="2"/>
        <v>0</v>
      </c>
      <c r="L25" s="222">
        <f t="shared" si="3"/>
        <v>0</v>
      </c>
    </row>
    <row r="26" ht="21" customHeight="1" s="203" customFormat="1">
      <c r="A26" s="205">
        <v>16</v>
      </c>
      <c r="B26" s="218">
        <f>IF((Sheet2!H3="A1"),1,IF((Sheet2!H3="A2"),2,IF((Sheet2!H3="A3"),3,IF((Sheet2!H3="B1"),1,IF((Sheet2!H3="B2"),2,IF((Sheet2!H3="B3"),3,IF((Sheet2!H3="C1"),1,IF((Sheet2!H3="C2"),2,IF((Sheet2!H3="C3"),3,IF((Sheet2!H3="D1"),1,IF((Sheet2!H3="D2"),2,IF((Sheet2!H3="D3"),3,0))))))))))))</f>
        <v>1</v>
      </c>
      <c r="C26" s="219" t="s">
        <v>131</v>
      </c>
      <c r="D26" s="204"/>
      <c r="E26" s="204"/>
      <c r="F26" s="204"/>
      <c r="G26" s="205" t="s">
        <v>124</v>
      </c>
      <c r="H26" s="205"/>
      <c r="I26" s="226"/>
      <c r="J26" s="220">
        <f>Sheet2!B31</f>
        <v>250</v>
      </c>
      <c r="K26" s="221">
        <f t="shared" si="2"/>
        <v>250</v>
      </c>
      <c r="L26" s="222">
        <f t="shared" si="3"/>
        <v>0.0018271442717228278</v>
      </c>
    </row>
    <row r="27" ht="21" customHeight="1" s="203" customFormat="1">
      <c r="A27" s="427" t="s">
        <v>88</v>
      </c>
      <c r="B27" s="428"/>
      <c r="C27" s="429" t="s">
        <v>88</v>
      </c>
      <c r="D27" s="430"/>
      <c r="E27" s="430"/>
      <c r="F27" s="435"/>
      <c r="G27" s="427"/>
      <c r="H27" s="427"/>
      <c r="I27" s="427"/>
      <c r="J27" s="431"/>
      <c r="K27" s="432">
        <f>SUBTOTAL(109,Table15[اجمالي])</f>
        <v>3630</v>
      </c>
      <c r="L27" s="433">
        <f>Table15[[#Totals],[اجمالي]]/$G$81</f>
        <v>0.026530134825415459</v>
      </c>
    </row>
    <row r="28" ht="21" customHeight="1" s="203" customFormat="1">
      <c r="C28" s="231"/>
      <c r="D28" s="629" t="s">
        <v>132</v>
      </c>
      <c r="E28" s="629"/>
      <c r="F28" s="629"/>
      <c r="G28" s="629"/>
      <c r="H28" s="629"/>
      <c r="I28" s="629"/>
    </row>
    <row r="29" ht="21" customHeight="1" s="203" customFormat="1">
      <c r="A29" s="205" t="s">
        <v>61</v>
      </c>
      <c r="B29" s="205" t="s">
        <v>62</v>
      </c>
      <c r="C29" s="233" t="s">
        <v>63</v>
      </c>
      <c r="D29" s="205" t="s">
        <v>64</v>
      </c>
      <c r="E29" s="205" t="s">
        <v>43</v>
      </c>
      <c r="F29" s="205" t="s">
        <v>95</v>
      </c>
      <c r="G29" s="205" t="s">
        <v>66</v>
      </c>
      <c r="H29" s="205" t="s">
        <v>67</v>
      </c>
      <c r="I29" s="205" t="s">
        <v>133</v>
      </c>
      <c r="J29" s="205" t="s">
        <v>69</v>
      </c>
      <c r="K29" s="234" t="s">
        <v>70</v>
      </c>
      <c r="L29" s="205" t="s">
        <v>71</v>
      </c>
    </row>
    <row r="30" ht="21" customHeight="1" s="203" customFormat="1">
      <c r="A30" s="205">
        <v>5</v>
      </c>
      <c r="B30" s="218">
        <f>IF((Sheet2!H3="A1"),2,IF((Sheet2!H3="A2"),3,IF((Sheet2!H3="A3"),4,IF((Sheet2!H3="C1"),2,IF((Sheet2!H3="C2"),3,IF((Sheet2!H3="C3"),4,0))))))</f>
        <v>2</v>
      </c>
      <c r="C30" s="219" t="s">
        <v>134</v>
      </c>
      <c r="D30" s="204">
        <v>0.4</v>
      </c>
      <c r="E30" s="204">
        <v>0.4</v>
      </c>
      <c r="F30" s="227">
        <f>(Table16[[#This Row],[Column1]]*Table16[[#This Row],[Column2]])*2*Table16[[#This Row],[عدد]]</f>
        <v>0.64000000000000012</v>
      </c>
      <c r="G30" s="228" t="s">
        <v>117</v>
      </c>
      <c r="H30" s="205">
        <v>14</v>
      </c>
      <c r="I30" s="205"/>
      <c r="J30" s="220">
        <f ref="J30:J31" t="shared" si="4">H30*$H$2/1000</f>
        <v>644</v>
      </c>
      <c r="K30" s="221">
        <f>B30*J30</f>
        <v>1288</v>
      </c>
      <c r="L30" s="222">
        <f>(K30)/$G$81</f>
        <v>0.0094134472879160089</v>
      </c>
    </row>
    <row r="31" ht="21" customHeight="1" s="203" customFormat="1">
      <c r="A31" s="205">
        <v>8</v>
      </c>
      <c r="B31" s="218">
        <f>B30*4</f>
        <v>8</v>
      </c>
      <c r="C31" s="219" t="s">
        <v>135</v>
      </c>
      <c r="D31" s="204">
        <v>0.1</v>
      </c>
      <c r="E31" s="204">
        <v>0.1</v>
      </c>
      <c r="F31" s="227">
        <f>(Table16[[#This Row],[Column1]]*Table16[[#This Row],[Column2]])*Table16[[#This Row],[عدد]]</f>
        <v>0.080000000000000016</v>
      </c>
      <c r="G31" s="205" t="s">
        <v>117</v>
      </c>
      <c r="H31" s="205">
        <v>1.5</v>
      </c>
      <c r="I31" s="205"/>
      <c r="J31" s="220">
        <f t="shared" si="4"/>
        <v>69</v>
      </c>
      <c r="K31" s="221">
        <f>B31*J31</f>
        <v>552</v>
      </c>
      <c r="L31" s="253">
        <f>(K31)/$G$81</f>
        <v>0.0040343345519640037</v>
      </c>
    </row>
    <row r="32" ht="21" customHeight="1" s="203" customFormat="1">
      <c r="A32" s="205" t="s">
        <v>88</v>
      </c>
      <c r="B32" s="218">
        <f>SUBTOTAL(103,Table16[عدد])</f>
        <v>2</v>
      </c>
      <c r="C32" s="219" t="s">
        <v>88</v>
      </c>
      <c r="D32" s="204"/>
      <c r="E32" s="204"/>
      <c r="F32" s="203">
        <f>SUBTOTAL(109,Table16[Column12])</f>
        <v>0.7200000000000002</v>
      </c>
      <c r="G32" s="205"/>
      <c r="H32" s="205">
        <f>H30*B30+H31*B31</f>
        <v>40</v>
      </c>
      <c r="I32" s="205"/>
      <c r="J32" s="226"/>
      <c r="K32" s="221">
        <f>SUBTOTAL(109,Table16[اجمالي])</f>
        <v>1840</v>
      </c>
      <c r="L32" s="243">
        <f>Table16[[#Totals],[اجمالي]]/$G$81</f>
        <v>0.013447781839880013</v>
      </c>
    </row>
    <row r="33" ht="21" customHeight="1" s="203" customFormat="1">
      <c r="C33" s="231"/>
      <c r="D33" s="629" t="s">
        <v>136</v>
      </c>
      <c r="E33" s="629"/>
      <c r="F33" s="629"/>
      <c r="G33" s="629"/>
      <c r="H33" s="629"/>
      <c r="I33" s="629"/>
    </row>
    <row r="34" ht="21" customHeight="1" s="203" customFormat="1">
      <c r="A34" s="205" t="s">
        <v>61</v>
      </c>
      <c r="B34" s="205" t="s">
        <v>62</v>
      </c>
      <c r="C34" s="233" t="s">
        <v>63</v>
      </c>
      <c r="D34" s="205" t="s">
        <v>64</v>
      </c>
      <c r="E34" s="205" t="s">
        <v>43</v>
      </c>
      <c r="F34" s="205" t="s">
        <v>95</v>
      </c>
      <c r="G34" s="205" t="s">
        <v>66</v>
      </c>
      <c r="H34" s="205" t="s">
        <v>67</v>
      </c>
      <c r="I34" s="205" t="s">
        <v>110</v>
      </c>
      <c r="J34" s="205" t="s">
        <v>69</v>
      </c>
      <c r="K34" s="234" t="s">
        <v>70</v>
      </c>
      <c r="L34" s="205" t="s">
        <v>71</v>
      </c>
    </row>
    <row r="35" ht="21" customHeight="1" s="203" customFormat="1">
      <c r="A35" s="205">
        <v>2</v>
      </c>
      <c r="B35" s="201">
        <v>5</v>
      </c>
      <c r="C35" s="233" t="s">
        <v>137</v>
      </c>
      <c r="D35" s="205"/>
      <c r="E35" s="205"/>
      <c r="F35" s="205"/>
      <c r="G35" s="205" t="s">
        <v>138</v>
      </c>
      <c r="H35" s="205"/>
      <c r="I35" s="205"/>
      <c r="J35" s="235">
        <v>15</v>
      </c>
      <c r="K35" s="221">
        <f ref="K35:K39" t="shared" si="6">B35*J35</f>
        <v>75</v>
      </c>
      <c r="L35" s="222">
        <f ref="L35:L50" t="shared" si="7">(K35)/$G$81</f>
        <v>0.00054814328151684831</v>
      </c>
    </row>
    <row r="36" ht="21" customHeight="1" s="203" customFormat="1">
      <c r="A36" s="205">
        <v>3</v>
      </c>
      <c r="B36" s="218">
        <v>5</v>
      </c>
      <c r="C36" s="233" t="s">
        <v>139</v>
      </c>
      <c r="D36" s="205"/>
      <c r="E36" s="205"/>
      <c r="F36" s="205"/>
      <c r="G36" s="205" t="s">
        <v>138</v>
      </c>
      <c r="H36" s="205"/>
      <c r="I36" s="205"/>
      <c r="J36" s="235">
        <v>15</v>
      </c>
      <c r="K36" s="221">
        <f t="shared" si="6"/>
        <v>75</v>
      </c>
      <c r="L36" s="222">
        <f t="shared" si="7"/>
        <v>0.00054814328151684831</v>
      </c>
    </row>
    <row r="37" ht="21" customHeight="1" s="203" customFormat="1">
      <c r="A37" s="205">
        <v>4</v>
      </c>
      <c r="B37" s="201">
        <v>5</v>
      </c>
      <c r="C37" s="219" t="s">
        <v>140</v>
      </c>
      <c r="D37" s="204"/>
      <c r="E37" s="204"/>
      <c r="F37" s="204"/>
      <c r="G37" s="205" t="s">
        <v>141</v>
      </c>
      <c r="H37" s="205"/>
      <c r="I37" s="205"/>
      <c r="J37" s="235">
        <v>25</v>
      </c>
      <c r="K37" s="221">
        <f t="shared" si="6"/>
        <v>125</v>
      </c>
      <c r="L37" s="222">
        <f t="shared" si="7"/>
        <v>0.00091357213586141389</v>
      </c>
    </row>
    <row r="38" ht="21" customHeight="1" s="203" customFormat="1">
      <c r="A38" s="205">
        <v>5</v>
      </c>
      <c r="B38" s="218">
        <v>5</v>
      </c>
      <c r="C38" s="219" t="s">
        <v>142</v>
      </c>
      <c r="D38" s="204"/>
      <c r="E38" s="204"/>
      <c r="F38" s="204"/>
      <c r="G38" s="205" t="s">
        <v>141</v>
      </c>
      <c r="H38" s="205"/>
      <c r="I38" s="205"/>
      <c r="J38" s="235">
        <v>150</v>
      </c>
      <c r="K38" s="221">
        <f t="shared" si="6"/>
        <v>750</v>
      </c>
      <c r="L38" s="222">
        <f t="shared" si="7"/>
        <v>0.0054814328151684836</v>
      </c>
    </row>
    <row r="39" ht="21" customHeight="1" s="203" customFormat="1">
      <c r="A39" s="205">
        <v>6</v>
      </c>
      <c r="B39" s="201">
        <v>5</v>
      </c>
      <c r="C39" s="219" t="s">
        <v>143</v>
      </c>
      <c r="D39" s="204"/>
      <c r="E39" s="204"/>
      <c r="F39" s="204"/>
      <c r="G39" s="205" t="s">
        <v>117</v>
      </c>
      <c r="H39" s="205"/>
      <c r="I39" s="205"/>
      <c r="J39" s="235">
        <v>40</v>
      </c>
      <c r="K39" s="221">
        <f t="shared" si="6"/>
        <v>200</v>
      </c>
      <c r="L39" s="222">
        <f t="shared" si="7"/>
        <v>0.0014617154173782623</v>
      </c>
    </row>
    <row r="40" ht="21" customHeight="1" s="203" customFormat="1">
      <c r="A40" s="205">
        <v>1</v>
      </c>
      <c r="B40" s="255">
        <f>Y7/3</f>
        <v>0.8633333333333334</v>
      </c>
      <c r="C40" s="219" t="s">
        <v>144</v>
      </c>
      <c r="D40" s="204"/>
      <c r="E40" s="204"/>
      <c r="F40" s="204"/>
      <c r="G40" s="205" t="s">
        <v>145</v>
      </c>
      <c r="H40" s="205"/>
      <c r="I40" s="205"/>
      <c r="J40" s="235">
        <f>Sheet2!B24</f>
        <v>200</v>
      </c>
      <c r="K40" s="221">
        <f>B40*J40</f>
        <v>172.66666666666669</v>
      </c>
      <c r="L40" s="222">
        <f t="shared" si="7"/>
        <v>0.0012619476436699</v>
      </c>
    </row>
    <row r="41" ht="21" customHeight="1" s="203" customFormat="1">
      <c r="A41" s="205">
        <v>7</v>
      </c>
      <c r="B41" s="255">
        <f>Y6/1.9</f>
        <v>2.6505263157894738</v>
      </c>
      <c r="C41" s="219" t="s">
        <v>79</v>
      </c>
      <c r="D41" s="204"/>
      <c r="E41" s="204"/>
      <c r="F41" s="204"/>
      <c r="G41" s="205" t="s">
        <v>146</v>
      </c>
      <c r="H41" s="205"/>
      <c r="I41" s="205"/>
      <c r="J41" s="235">
        <f>Sheet2!B25</f>
        <v>80</v>
      </c>
      <c r="K41" s="221">
        <f>B41*J41</f>
        <v>212.04210526315791</v>
      </c>
      <c r="L41" s="222">
        <f t="shared" si="7"/>
        <v>0.0015497260719825115</v>
      </c>
    </row>
    <row r="42" ht="21" customHeight="1" s="203" customFormat="1">
      <c r="A42" s="205">
        <v>8</v>
      </c>
      <c r="B42" s="255">
        <f>Y5</f>
        <v>4.144000000000001</v>
      </c>
      <c r="C42" s="219" t="s">
        <v>147</v>
      </c>
      <c r="D42" s="204"/>
      <c r="E42" s="204"/>
      <c r="F42" s="204"/>
      <c r="G42" s="205" t="s">
        <v>117</v>
      </c>
      <c r="H42" s="205"/>
      <c r="I42" s="205"/>
      <c r="J42" s="235">
        <f>Sheet2!B26</f>
        <v>130</v>
      </c>
      <c r="K42" s="221">
        <f>B42*J42</f>
        <v>538.72000000000014</v>
      </c>
      <c r="L42" s="222">
        <f t="shared" si="7"/>
        <v>0.0039372766482500881</v>
      </c>
    </row>
    <row r="43" ht="21" customHeight="1" s="203" customFormat="1">
      <c r="A43" s="205">
        <v>9</v>
      </c>
      <c r="B43" s="255">
        <f>Y8</f>
        <v>4.144000000000001</v>
      </c>
      <c r="C43" s="219" t="s">
        <v>148</v>
      </c>
      <c r="D43" s="204"/>
      <c r="E43" s="204"/>
      <c r="F43" s="204"/>
      <c r="G43" s="205" t="s">
        <v>117</v>
      </c>
      <c r="H43" s="205"/>
      <c r="I43" s="205"/>
      <c r="J43" s="235">
        <f>Sheet2!B27</f>
        <v>400</v>
      </c>
      <c r="K43" s="221">
        <f>B43*J43</f>
        <v>1657.6000000000004</v>
      </c>
      <c r="L43" s="222">
        <f t="shared" si="7"/>
        <v>0.01211469737923104</v>
      </c>
    </row>
    <row r="44" ht="21" customHeight="1" s="203" customFormat="1">
      <c r="A44" s="205">
        <v>10</v>
      </c>
      <c r="B44" s="218">
        <f>IF((تسعير!T5="B"),(Table1[[#Totals],[الوزن]]+Table16[[#Totals],[الوزن]]+Table14[[#Totals],[الوزن]]),0)</f>
        <v>0</v>
      </c>
      <c r="C44" s="219" t="s">
        <v>149</v>
      </c>
      <c r="D44" s="204"/>
      <c r="E44" s="204"/>
      <c r="F44" s="204"/>
      <c r="G44" s="205"/>
      <c r="H44" s="205"/>
      <c r="I44" s="205"/>
      <c r="J44" s="235">
        <v>15</v>
      </c>
      <c r="K44" s="221">
        <f ref="K44:K50" t="shared" si="8">B44*J44</f>
        <v>0</v>
      </c>
      <c r="L44" s="253">
        <f t="shared" si="7"/>
        <v>0</v>
      </c>
    </row>
    <row r="45" ht="21" customHeight="1" s="203" customFormat="1">
      <c r="A45" s="205">
        <v>11</v>
      </c>
      <c r="B45" s="218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9" t="s">
        <v>94</v>
      </c>
      <c r="D45" s="204"/>
      <c r="E45" s="204"/>
      <c r="F45" s="204"/>
      <c r="G45" s="205" t="s">
        <v>150</v>
      </c>
      <c r="H45" s="205"/>
      <c r="I45" s="205"/>
      <c r="J45" s="235">
        <f>Sheet2!B18</f>
        <v>300</v>
      </c>
      <c r="K45" s="221">
        <f t="shared" si="8"/>
        <v>0</v>
      </c>
      <c r="L45" s="253">
        <f t="shared" si="7"/>
        <v>0</v>
      </c>
    </row>
    <row r="46" ht="21" customHeight="1" s="203" customFormat="1">
      <c r="A46" s="205">
        <v>12</v>
      </c>
      <c r="B46" s="218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33" t="s">
        <v>97</v>
      </c>
      <c r="D46" s="204"/>
      <c r="E46" s="204"/>
      <c r="F46" s="204"/>
      <c r="G46" s="233" t="s">
        <v>151</v>
      </c>
      <c r="H46" s="205"/>
      <c r="I46" s="205"/>
      <c r="J46" s="235">
        <f>Sheet2!B19</f>
        <v>250</v>
      </c>
      <c r="K46" s="221">
        <f t="shared" si="8"/>
        <v>0</v>
      </c>
      <c r="L46" s="253">
        <f t="shared" si="7"/>
        <v>0</v>
      </c>
    </row>
    <row r="47" ht="21" customHeight="1" s="203" customFormat="1">
      <c r="A47" s="205">
        <v>13</v>
      </c>
      <c r="B47" s="218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33" t="s">
        <v>101</v>
      </c>
      <c r="D47" s="204"/>
      <c r="E47" s="204"/>
      <c r="F47" s="204"/>
      <c r="G47" s="233" t="s">
        <v>152</v>
      </c>
      <c r="H47" s="205"/>
      <c r="I47" s="205"/>
      <c r="J47" s="235">
        <f>Sheet2!B20</f>
        <v>375</v>
      </c>
      <c r="K47" s="221">
        <f t="shared" si="8"/>
        <v>0</v>
      </c>
      <c r="L47" s="253">
        <f t="shared" si="7"/>
        <v>0</v>
      </c>
    </row>
    <row r="48" ht="21" customHeight="1" s="203" customFormat="1">
      <c r="A48" s="205">
        <v>14</v>
      </c>
      <c r="B48" s="218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33" t="s">
        <v>104</v>
      </c>
      <c r="D48" s="204"/>
      <c r="E48" s="204"/>
      <c r="F48" s="204"/>
      <c r="G48" s="233" t="s">
        <v>152</v>
      </c>
      <c r="H48" s="205"/>
      <c r="I48" s="205"/>
      <c r="J48" s="235">
        <f>Sheet2!B21</f>
        <v>455</v>
      </c>
      <c r="K48" s="221">
        <f t="shared" si="8"/>
        <v>0</v>
      </c>
      <c r="L48" s="253">
        <f t="shared" si="7"/>
        <v>0</v>
      </c>
    </row>
    <row r="49" ht="21" customHeight="1" s="203" customFormat="1">
      <c r="A49" s="205">
        <v>15</v>
      </c>
      <c r="B49" s="218">
        <f>IF(AND((Y15&gt;0),(Y15&lt;=5)),5,IF(AND((Y15&gt;5),(Y15&lt;=10)),10,IF(AND((Y15&gt;10),(Y15&lt;=15)),15,IF(AND((Y15&gt;15),(Y15&lt;=20)),20,IF(AND((Y15&gt;20),(Y15&lt;=25)),25,IF(AND((Y15&gt;25),(Y15&lt;=30)),30,IF(AND((Y15&gt;30),(Y15&lt;=35)),35,IF(AND((Y15&gt;35),(Y15&lt;=40)),40,IF(AND((Y15&gt;40),(Y15&lt;=45)),45,IF(AND((Y15&gt;45),(Y15&lt;=50)),50,IF(AND((Y15&gt;50),(Y15&lt;=55)),55,IF(AND((Y15&gt;55),(Y15&lt;=60)),60,0))))))))))))</f>
        <v>0</v>
      </c>
      <c r="C49" s="233" t="s">
        <v>109</v>
      </c>
      <c r="D49" s="204"/>
      <c r="E49" s="204"/>
      <c r="F49" s="204"/>
      <c r="G49" s="233" t="s">
        <v>153</v>
      </c>
      <c r="H49" s="205"/>
      <c r="I49" s="205"/>
      <c r="J49" s="235">
        <f>Sheet2!B22</f>
        <v>135</v>
      </c>
      <c r="K49" s="221">
        <f t="shared" si="8"/>
        <v>0</v>
      </c>
      <c r="L49" s="253">
        <f t="shared" si="7"/>
        <v>0</v>
      </c>
    </row>
    <row r="50" ht="21" customHeight="1" s="203" customFormat="1">
      <c r="A50" s="205">
        <v>16</v>
      </c>
      <c r="B50" s="218">
        <f>IF(AND((Y16&gt;0),(Y16&lt;=5)),5,IF(AND((Y16&gt;5),(Y16&lt;=10)),10,IF(AND((Y16&gt;10),(Y16&lt;=15)),15,IF(AND((Y16&gt;15),(Y16&lt;=20)),20,IF(AND((Y16&gt;20),(Y16&lt;=25)),25,IF(AND((Y16&gt;25),(Y16&lt;=30)),30,IF(AND((Y16&gt;30),(Y16&lt;=35)),35,IF(AND((Y16&gt;35),(Y16&lt;=40)),40,IF(AND((Y16&gt;40),(Y16&lt;=45)),45,IF(AND((Y16&gt;45),(Y16&lt;=50)),50,IF(AND((Y16&gt;50),(Y16&lt;=55)),55,IF(AND((Y16&gt;55),(Y16&lt;=60)),60,0))))))))))))</f>
        <v>0</v>
      </c>
      <c r="C50" s="233" t="s">
        <v>112</v>
      </c>
      <c r="D50" s="204"/>
      <c r="E50" s="204"/>
      <c r="F50" s="204"/>
      <c r="G50" s="233" t="s">
        <v>153</v>
      </c>
      <c r="H50" s="205"/>
      <c r="I50" s="205"/>
      <c r="J50" s="235">
        <f>Sheet2!B23</f>
        <v>130</v>
      </c>
      <c r="K50" s="221">
        <f t="shared" si="8"/>
        <v>0</v>
      </c>
      <c r="L50" s="253">
        <f t="shared" si="7"/>
        <v>0</v>
      </c>
    </row>
    <row r="51" ht="21" customHeight="1" s="203" customFormat="1">
      <c r="A51" s="427" t="s">
        <v>88</v>
      </c>
      <c r="B51" s="428"/>
      <c r="C51" s="429" t="s">
        <v>88</v>
      </c>
      <c r="D51" s="430"/>
      <c r="E51" s="430"/>
      <c r="F51" s="430"/>
      <c r="G51" s="427" t="s">
        <v>154</v>
      </c>
      <c r="H51" s="427"/>
      <c r="I51" s="427"/>
      <c r="J51" s="431"/>
      <c r="K51" s="432">
        <f>SUBTOTAL(109,Table13[اجمالي])</f>
        <v>3806.0287719298253</v>
      </c>
      <c r="L51" s="433">
        <f>Table13[[#Totals],[اجمالي]]/$G$81</f>
        <v>0.0278166546745754</v>
      </c>
    </row>
    <row r="52" ht="21" customHeight="1" s="203" customFormat="1">
      <c r="A52" s="205"/>
      <c r="B52" s="218"/>
      <c r="C52" s="219"/>
      <c r="D52" s="204"/>
      <c r="E52" s="204"/>
      <c r="F52" s="204"/>
      <c r="G52" s="205"/>
      <c r="H52" s="205"/>
      <c r="I52" s="205"/>
      <c r="J52" s="226"/>
      <c r="K52" s="221"/>
      <c r="L52" s="243"/>
    </row>
    <row r="53" ht="21" customHeight="1" s="203" customFormat="1">
      <c r="C53" s="231"/>
      <c r="D53" s="629" t="s">
        <v>155</v>
      </c>
      <c r="E53" s="629"/>
      <c r="F53" s="629"/>
      <c r="G53" s="629"/>
      <c r="H53" s="629"/>
      <c r="I53" s="629"/>
    </row>
    <row r="54" ht="21" customHeight="1" s="203" customFormat="1">
      <c r="A54" s="205" t="s">
        <v>61</v>
      </c>
      <c r="B54" s="205" t="s">
        <v>62</v>
      </c>
      <c r="C54" s="233" t="s">
        <v>63</v>
      </c>
      <c r="D54" s="205" t="s">
        <v>64</v>
      </c>
      <c r="E54" s="205" t="s">
        <v>43</v>
      </c>
      <c r="F54" s="205" t="s">
        <v>95</v>
      </c>
      <c r="G54" s="205" t="s">
        <v>66</v>
      </c>
      <c r="H54" s="205" t="s">
        <v>67</v>
      </c>
      <c r="I54" s="205" t="s">
        <v>110</v>
      </c>
      <c r="J54" s="205" t="s">
        <v>69</v>
      </c>
      <c r="K54" s="234" t="s">
        <v>70</v>
      </c>
      <c r="L54" s="205" t="s">
        <v>71</v>
      </c>
    </row>
    <row r="55" ht="21" customHeight="1" s="203" customFormat="1">
      <c r="A55" s="205">
        <v>1</v>
      </c>
      <c r="B55" s="201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5" s="204" t="s">
        <v>156</v>
      </c>
      <c r="D55" s="204"/>
      <c r="E55" s="204"/>
      <c r="F55" s="204"/>
      <c r="G55" s="236" t="s">
        <v>77</v>
      </c>
      <c r="H55" s="205">
        <v>1.75</v>
      </c>
      <c r="I55" s="230">
        <f>J2/1000</f>
        <v>152</v>
      </c>
      <c r="J55" s="237">
        <f>Table1610[[#This Row],[سعر الكيلو]]*Table1610[[#This Row],[الوزن]]</f>
        <v>266</v>
      </c>
      <c r="K55" s="221">
        <f>B55*J55</f>
        <v>798</v>
      </c>
      <c r="L55" s="222">
        <f>(Table1610[[#This Row],[اجمالي]])/$G$81</f>
        <v>0.0058322445153392664</v>
      </c>
    </row>
    <row r="56" ht="21" customHeight="1" s="203" customFormat="1">
      <c r="A56" s="205">
        <v>3</v>
      </c>
      <c r="B56" s="201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6" s="204" t="s">
        <v>157</v>
      </c>
      <c r="D56" s="204"/>
      <c r="E56" s="204"/>
      <c r="F56" s="204"/>
      <c r="G56" s="236" t="s">
        <v>158</v>
      </c>
      <c r="H56" s="205"/>
      <c r="I56" s="230"/>
      <c r="J56" s="237">
        <f>Sheet2!B32</f>
        <v>4500</v>
      </c>
      <c r="K56" s="221">
        <f>B56*J56</f>
        <v>1125</v>
      </c>
      <c r="L56" s="222">
        <f>(Table1610[[#This Row],[اجمالي]])/$G$81</f>
        <v>0.0082221492227527258</v>
      </c>
    </row>
    <row r="57" ht="21" customHeight="1" s="203" customFormat="1">
      <c r="A57" s="266" t="s">
        <v>88</v>
      </c>
      <c r="B57" s="409"/>
      <c r="C57" s="272" t="s">
        <v>88</v>
      </c>
      <c r="D57" s="272"/>
      <c r="E57" s="272"/>
      <c r="F57" s="272">
        <f>SUBTOTAL(109,Table1610[Column12])</f>
        <v>0</v>
      </c>
      <c r="G57" s="238"/>
      <c r="H57" s="266"/>
      <c r="I57" s="410"/>
      <c r="J57" s="411"/>
      <c r="K57" s="267">
        <f>SUBTOTAL(109,Table1610[اجمالي])</f>
        <v>1923</v>
      </c>
      <c r="L57" s="274">
        <f>Table1610[[#Totals],[اجمالي]]/$G$81</f>
        <v>0.014054393738091992</v>
      </c>
      <c r="N57" s="190"/>
      <c r="O57" s="190"/>
      <c r="P57" s="190"/>
      <c r="Q57" s="190"/>
      <c r="R57" s="190"/>
      <c r="S57" s="190"/>
      <c r="T57" s="190"/>
    </row>
    <row r="58" ht="21" customHeight="1" s="203" customFormat="1">
      <c r="C58" s="231"/>
      <c r="D58" s="629" t="s">
        <v>159</v>
      </c>
      <c r="E58" s="629"/>
      <c r="F58" s="629"/>
      <c r="G58" s="629"/>
      <c r="H58" s="629"/>
      <c r="I58" s="629"/>
      <c r="N58" s="190"/>
      <c r="O58" s="190"/>
      <c r="P58" s="190"/>
      <c r="Q58" s="190"/>
      <c r="R58" s="190"/>
      <c r="S58" s="190"/>
      <c r="T58" s="190"/>
    </row>
    <row r="59" ht="21" customHeight="1" s="203" customFormat="1">
      <c r="A59" s="205" t="s">
        <v>61</v>
      </c>
      <c r="B59" s="205" t="s">
        <v>62</v>
      </c>
      <c r="C59" s="204" t="s">
        <v>160</v>
      </c>
      <c r="D59" s="205" t="s">
        <v>95</v>
      </c>
      <c r="E59" s="205" t="s">
        <v>43</v>
      </c>
      <c r="F59" s="202" t="s">
        <v>9</v>
      </c>
      <c r="G59" s="203" t="s">
        <v>161</v>
      </c>
      <c r="H59" s="239" t="s">
        <v>162</v>
      </c>
      <c r="I59" s="205" t="s">
        <v>64</v>
      </c>
      <c r="J59" s="205" t="s">
        <v>163</v>
      </c>
      <c r="K59" s="234" t="s">
        <v>70</v>
      </c>
      <c r="L59" s="205" t="s">
        <v>71</v>
      </c>
      <c r="N59" s="190"/>
      <c r="O59" s="190"/>
      <c r="P59" s="190"/>
      <c r="Q59" s="190"/>
      <c r="R59" s="190"/>
      <c r="S59" s="190"/>
      <c r="T59" s="190"/>
    </row>
    <row r="60" ht="21" customHeight="1" s="203" customFormat="1">
      <c r="A60" s="205">
        <v>1</v>
      </c>
      <c r="B60" s="201">
        <v>1</v>
      </c>
      <c r="C60" s="204" t="s">
        <v>164</v>
      </c>
      <c r="D60" s="204"/>
      <c r="E60" s="205"/>
      <c r="F60" s="204"/>
      <c r="G60" s="204"/>
      <c r="H60" s="236">
        <f>'Cutting Ro-1'!$O$7</f>
        <v>1990.4043385995503</v>
      </c>
      <c r="I60" s="230"/>
      <c r="J60" s="237">
        <f>IF((Table1611[[#This Row],[عدد]]&gt;0),'Cutting Ro-1'!O8,0)</f>
        <v>62697.736665885837</v>
      </c>
      <c r="K60" s="221">
        <f>B60*Table1611[[#This Row],[سعر البرجولا كاملة]]</f>
        <v>62697.736665885837</v>
      </c>
      <c r="L60" s="222">
        <f>(K60)/$G$81</f>
        <v>0.45823124159623846</v>
      </c>
      <c r="N60" s="190"/>
      <c r="O60" s="190"/>
      <c r="P60" s="190"/>
      <c r="Q60" s="190"/>
      <c r="R60" s="190"/>
      <c r="S60" s="190"/>
      <c r="T60" s="190"/>
    </row>
    <row r="61" ht="21" customHeight="1" s="203" customFormat="1">
      <c r="A61" s="205">
        <v>4</v>
      </c>
      <c r="B61" s="218">
        <f>IF((F77="الاسكندرية"),0.25,0.1)</f>
        <v>0.1</v>
      </c>
      <c r="C61" s="219" t="s">
        <v>165</v>
      </c>
      <c r="D61" s="204"/>
      <c r="E61" s="205"/>
      <c r="G61" s="204"/>
      <c r="H61" s="205"/>
      <c r="I61" s="230"/>
      <c r="J61" s="235">
        <f>(K60)</f>
        <v>62697.736665885837</v>
      </c>
      <c r="K61" s="221">
        <f>B61*Table1611[[#This Row],[سعر البرجولا كاملة]]</f>
        <v>6269.7736665885841</v>
      </c>
      <c r="L61" s="222">
        <f>(K61)/$G$81</f>
        <v>0.045823124159623849</v>
      </c>
      <c r="N61" s="190"/>
      <c r="O61" s="190"/>
      <c r="P61" s="190"/>
      <c r="Q61" s="190"/>
      <c r="R61" s="190"/>
      <c r="S61" s="190"/>
      <c r="T61" s="190"/>
    </row>
    <row r="62" ht="21" customHeight="1" s="203" customFormat="1">
      <c r="A62" s="205" t="s">
        <v>88</v>
      </c>
      <c r="B62" s="218"/>
      <c r="C62" s="219" t="s">
        <v>88</v>
      </c>
      <c r="D62" s="203">
        <f>SUBTOTAL(109,Table1611[Column12])</f>
        <v>0</v>
      </c>
      <c r="E62" s="205"/>
      <c r="F62" s="204"/>
      <c r="G62" s="204"/>
      <c r="H62" s="205"/>
      <c r="I62" s="205"/>
      <c r="J62" s="226"/>
      <c r="K62" s="221">
        <f>SUBTOTAL(109,Table1611[اجمالي])</f>
        <v>68967.510332474427</v>
      </c>
      <c r="L62" s="243">
        <f>Table1611[[#Totals],[اجمالي]]/$G$81</f>
        <v>0.50405436575586238</v>
      </c>
      <c r="N62" s="190"/>
      <c r="O62" s="190"/>
      <c r="P62" s="190"/>
      <c r="Q62" s="190"/>
      <c r="R62" s="190"/>
      <c r="S62" s="190"/>
      <c r="T62" s="190"/>
    </row>
    <row r="63" ht="21" customHeight="1" s="203" customFormat="1">
      <c r="C63" s="231"/>
      <c r="D63" s="629" t="s">
        <v>166</v>
      </c>
      <c r="E63" s="629"/>
      <c r="F63" s="629"/>
      <c r="G63" s="629"/>
      <c r="H63" s="629"/>
      <c r="I63" s="629"/>
      <c r="N63" s="190"/>
      <c r="O63" s="190"/>
      <c r="P63" s="190"/>
      <c r="Q63" s="190"/>
      <c r="R63" s="190"/>
      <c r="S63" s="190"/>
      <c r="T63" s="190"/>
    </row>
    <row r="64" ht="18.75">
      <c r="A64" s="205" t="s">
        <v>61</v>
      </c>
      <c r="B64" s="205" t="s">
        <v>62</v>
      </c>
      <c r="C64" s="233" t="s">
        <v>63</v>
      </c>
      <c r="D64" s="205" t="s">
        <v>167</v>
      </c>
      <c r="E64" s="205" t="s">
        <v>46</v>
      </c>
      <c r="F64" s="205" t="s">
        <v>168</v>
      </c>
      <c r="G64" s="205" t="s">
        <v>169</v>
      </c>
      <c r="H64" s="205" t="s">
        <v>95</v>
      </c>
      <c r="I64" s="205" t="s">
        <v>170</v>
      </c>
      <c r="J64" s="205" t="s">
        <v>171</v>
      </c>
      <c r="K64" s="234" t="s">
        <v>70</v>
      </c>
      <c r="L64" s="205" t="s">
        <v>71</v>
      </c>
    </row>
    <row r="65" ht="18.75">
      <c r="A65" s="205">
        <v>1</v>
      </c>
      <c r="B65" s="201">
        <v>4</v>
      </c>
      <c r="C65" s="206" t="s">
        <v>172</v>
      </c>
      <c r="D65" s="205">
        <f>IF((Table1612[[#This Row],[موقع العمل]]="المصنع"),150,IF((Table1612[[#This Row],[موقع العمل]]="الاسكندرية"),160,200))</f>
        <v>150</v>
      </c>
      <c r="E65" s="205">
        <f>SUMIF(Table17[Column1],Table1612[[#This Row],[موقع العمل]],$Q$2:$Q$20)</f>
        <v>0</v>
      </c>
      <c r="F65" s="205" t="s">
        <v>173</v>
      </c>
      <c r="G65" s="204" t="s">
        <v>73</v>
      </c>
      <c r="H65" s="203"/>
      <c r="I65" s="220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5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5" s="221">
        <f ref="K65:K77" t="shared" si="10">B65*J65</f>
        <v>600</v>
      </c>
      <c r="L65" s="222">
        <f ref="L65:L77" t="shared" si="11">(K65)/$G$81</f>
        <v>0.0043851462521347865</v>
      </c>
    </row>
    <row r="66" ht="18.75">
      <c r="A66" s="205">
        <v>2</v>
      </c>
      <c r="B66" s="201">
        <v>3</v>
      </c>
      <c r="C66" s="206" t="s">
        <v>174</v>
      </c>
      <c r="D66" s="205">
        <f>IF((Table1612[[#This Row],[موقع العمل]]="المصنع"),150,IF((Table1612[[#This Row],[موقع العمل]]="الاسكندرية"),160,200))</f>
        <v>150</v>
      </c>
      <c r="E66" s="205">
        <f>SUMIF(Table17[Column1],Table1612[[#This Row],[موقع العمل]],$Q$2:$Q$20)</f>
        <v>0</v>
      </c>
      <c r="F66" s="205" t="s">
        <v>173</v>
      </c>
      <c r="G66" s="204" t="s">
        <v>73</v>
      </c>
      <c r="H66" s="203"/>
      <c r="I66" s="220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6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6" s="221">
        <f t="shared" si="10"/>
        <v>450</v>
      </c>
      <c r="L66" s="222">
        <f t="shared" si="11"/>
        <v>0.0032888596891010903</v>
      </c>
    </row>
    <row r="67" ht="18.75">
      <c r="A67" s="205">
        <v>3</v>
      </c>
      <c r="B67" s="201">
        <v>3</v>
      </c>
      <c r="C67" s="206" t="s">
        <v>175</v>
      </c>
      <c r="D67" s="205">
        <f>IF((Table1612[[#This Row],[موقع العمل]]="المصنع"),150,IF((Table1612[[#This Row],[موقع العمل]]="الاسكندرية"),160,200))</f>
        <v>150</v>
      </c>
      <c r="E67" s="205">
        <f>SUMIF(Table17[Column1],Table1612[[#This Row],[موقع العمل]],$Q$2:$Q$20)</f>
        <v>0</v>
      </c>
      <c r="F67" s="205" t="s">
        <v>173</v>
      </c>
      <c r="G67" s="204" t="s">
        <v>73</v>
      </c>
      <c r="H67" s="203"/>
      <c r="I67" s="220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7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7" s="221">
        <f t="shared" si="10"/>
        <v>900</v>
      </c>
      <c r="L67" s="222">
        <f t="shared" si="11"/>
        <v>0.0065777193782021806</v>
      </c>
    </row>
    <row r="68" ht="18.75">
      <c r="A68" s="205">
        <v>4</v>
      </c>
      <c r="B68" s="218">
        <v>3</v>
      </c>
      <c r="C68" s="206" t="s">
        <v>176</v>
      </c>
      <c r="D68" s="205">
        <f>IF((Table1612[[#This Row],[موقع العمل]]="المصنع"),150,IF((Table1612[[#This Row],[موقع العمل]]="الاسكندرية"),160,200))</f>
        <v>150</v>
      </c>
      <c r="E68" s="205">
        <f>SUMIF(Table17[Column1],Table1612[[#This Row],[موقع العمل]],$Q$2:$Q$20)</f>
        <v>0</v>
      </c>
      <c r="F68" s="205" t="s">
        <v>173</v>
      </c>
      <c r="G68" s="204" t="s">
        <v>73</v>
      </c>
      <c r="H68" s="203"/>
      <c r="I68" s="220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8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</v>
      </c>
      <c r="K68" s="221">
        <f t="shared" si="10"/>
        <v>450</v>
      </c>
      <c r="L68" s="222">
        <f t="shared" si="11"/>
        <v>0.0032888596891010903</v>
      </c>
    </row>
    <row r="69" ht="18.75">
      <c r="A69" s="205">
        <v>5</v>
      </c>
      <c r="B69" s="218">
        <v>4</v>
      </c>
      <c r="C69" s="206" t="s">
        <v>177</v>
      </c>
      <c r="D69" s="205">
        <f>IF((Table1612[[#This Row],[موقع العمل]]="المصنع"),150,IF((Table1612[[#This Row],[موقع العمل]]="الاسكندرية"),160,200))</f>
        <v>200</v>
      </c>
      <c r="E69" s="205">
        <f>SUMIF(Table17[Column1],Table1612[[#This Row],[موقع العمل]],$Q$2:$Q$20)</f>
        <v>100</v>
      </c>
      <c r="F69" s="205" t="str">
        <f>تسعير!$T$4</f>
        <v>جنوب سيناء</v>
      </c>
      <c r="G69" s="204" t="s">
        <v>73</v>
      </c>
      <c r="H69" s="203"/>
      <c r="I69" s="220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2</v>
      </c>
      <c r="J69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9" s="221">
        <f t="shared" si="10"/>
        <v>2400</v>
      </c>
      <c r="L69" s="222">
        <f t="shared" si="11"/>
        <v>0.017540585008539146</v>
      </c>
    </row>
    <row r="70" ht="18.75">
      <c r="A70" s="205">
        <v>6</v>
      </c>
      <c r="B70" s="218">
        <v>3</v>
      </c>
      <c r="C70" s="206" t="s">
        <v>178</v>
      </c>
      <c r="D70" s="205">
        <f>IF((Table1612[[#This Row],[موقع العمل]]="المصنع"),150,IF((Table1612[[#This Row],[موقع العمل]]="الاسكندرية"),160,200))</f>
        <v>200</v>
      </c>
      <c r="E70" s="205">
        <f>SUMIF(Table17[Column1],Table1612[[#This Row],[موقع العمل]],$Q$2:$Q$20)</f>
        <v>100</v>
      </c>
      <c r="F70" s="205" t="str">
        <f>تسعير!$T$4</f>
        <v>جنوب سيناء</v>
      </c>
      <c r="G70" s="204" t="s">
        <v>73</v>
      </c>
      <c r="H70" s="203"/>
      <c r="I70" s="220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0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900</v>
      </c>
      <c r="K70" s="221">
        <f t="shared" si="10"/>
        <v>2700</v>
      </c>
      <c r="L70" s="222">
        <f t="shared" si="11"/>
        <v>0.019733158134606542</v>
      </c>
    </row>
    <row r="71" ht="18.75">
      <c r="A71" s="205">
        <v>7</v>
      </c>
      <c r="B71" s="218">
        <v>0</v>
      </c>
      <c r="C71" s="206" t="s">
        <v>179</v>
      </c>
      <c r="D71" s="205">
        <f>IF((Table1612[[#This Row],[موقع العمل]]="المصنع"),150,IF((Table1612[[#This Row],[موقع العمل]]="الاسكندرية"),160,200))</f>
        <v>200</v>
      </c>
      <c r="E71" s="205">
        <f>SUMIF(Table17[Column1],Table1612[[#This Row],[موقع العمل]],$Q$2:$Q$20)</f>
        <v>100</v>
      </c>
      <c r="F71" s="205" t="str">
        <f>تسعير!$T$4</f>
        <v>جنوب سيناء</v>
      </c>
      <c r="G71" s="204" t="s">
        <v>73</v>
      </c>
      <c r="H71" s="203"/>
      <c r="I71" s="220"/>
      <c r="J71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1" s="221">
        <f t="shared" si="10"/>
        <v>0</v>
      </c>
      <c r="L71" s="222">
        <f t="shared" si="11"/>
        <v>0</v>
      </c>
    </row>
    <row r="72" ht="18.75">
      <c r="A72" s="205">
        <v>8</v>
      </c>
      <c r="B72" s="218">
        <v>4</v>
      </c>
      <c r="C72" s="206" t="s">
        <v>180</v>
      </c>
      <c r="D72" s="205">
        <f>IF((Table1612[[#This Row],[موقع العمل]]="المصنع"),150,IF((Table1612[[#This Row],[موقع العمل]]="الاسكندرية"),160,200))</f>
        <v>200</v>
      </c>
      <c r="E72" s="205">
        <f>SUMIF(Table17[Column1],Table1612[[#This Row],[موقع العمل]],$Q$2:$Q$20)</f>
        <v>100</v>
      </c>
      <c r="F72" s="205" t="str">
        <f>تسعير!$T$4</f>
        <v>جنوب سيناء</v>
      </c>
      <c r="G72" s="204" t="s">
        <v>73</v>
      </c>
      <c r="H72" s="203"/>
      <c r="I72" s="220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2" s="220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72" s="221">
        <f t="shared" si="10"/>
        <v>2400</v>
      </c>
      <c r="L72" s="222">
        <f t="shared" si="11"/>
        <v>0.017540585008539146</v>
      </c>
    </row>
    <row r="73" ht="18.75">
      <c r="A73" s="205">
        <v>9</v>
      </c>
      <c r="B73" s="218">
        <f>(B69+B70+B71+B72)*2</f>
        <v>22</v>
      </c>
      <c r="C73" s="206" t="s">
        <v>181</v>
      </c>
      <c r="D73" s="205"/>
      <c r="E73" s="205"/>
      <c r="F73" s="205" t="str">
        <f>تسعير!$T$4</f>
        <v>جنوب سيناء</v>
      </c>
      <c r="G73" s="204"/>
      <c r="H73" s="230">
        <f>SUMIF(Table17[Column1],Table1612[[#This Row],[موقع العمل]],$O$2:$O$20)</f>
        <v>550</v>
      </c>
      <c r="I73" s="230"/>
      <c r="J73" s="220">
        <f>Table1612[[#This Row],[Column12]]</f>
        <v>550</v>
      </c>
      <c r="K73" s="221">
        <f t="shared" si="10"/>
        <v>12100</v>
      </c>
      <c r="L73" s="222">
        <f t="shared" si="11"/>
        <v>0.088433782751384873</v>
      </c>
    </row>
    <row r="74" ht="18.75">
      <c r="A74" s="205">
        <v>10</v>
      </c>
      <c r="B74" s="218">
        <f>((I69+I70+I71+I72)*2)-2</f>
        <v>12</v>
      </c>
      <c r="C74" s="206" t="s">
        <v>182</v>
      </c>
      <c r="D74" s="205"/>
      <c r="E74" s="205"/>
      <c r="F74" s="205" t="str">
        <f>تسعير!$T$4</f>
        <v>جنوب سيناء</v>
      </c>
      <c r="G74" s="204"/>
      <c r="H74" s="230">
        <f>SUMIF(Table17[Column1],Table1612[[#This Row],[موقع العمل]],$P$2:$P$20)</f>
        <v>200</v>
      </c>
      <c r="I74" s="230"/>
      <c r="J74" s="220">
        <f>Table1612[[#This Row],[Column12]]</f>
        <v>200</v>
      </c>
      <c r="K74" s="221">
        <f t="shared" si="10"/>
        <v>2400</v>
      </c>
      <c r="L74" s="222">
        <f t="shared" si="11"/>
        <v>0.017540585008539146</v>
      </c>
    </row>
    <row r="75" ht="18.75">
      <c r="A75" s="205">
        <v>11</v>
      </c>
      <c r="B75" s="218">
        <v>2</v>
      </c>
      <c r="C75" s="206" t="s">
        <v>183</v>
      </c>
      <c r="D75" s="205"/>
      <c r="E75" s="205"/>
      <c r="F75" s="205" t="str">
        <f>تسعير!$T$4</f>
        <v>جنوب سيناء</v>
      </c>
      <c r="G75" s="204"/>
      <c r="H75" s="230">
        <f>SUMIF(Table17[Column1],Table1612[[#This Row],[موقع العمل]],$R$2:$R$20)</f>
        <v>4500</v>
      </c>
      <c r="I75" s="230"/>
      <c r="J75" s="220">
        <f>Table1612[[#This Row],[Column12]]</f>
        <v>4500</v>
      </c>
      <c r="K75" s="221">
        <f t="shared" si="10"/>
        <v>9000</v>
      </c>
      <c r="L75" s="222">
        <f t="shared" si="11"/>
        <v>0.0657771937820218</v>
      </c>
    </row>
    <row r="76" ht="18.75">
      <c r="A76" s="205">
        <v>12</v>
      </c>
      <c r="B76" s="218">
        <v>2</v>
      </c>
      <c r="C76" s="206" t="s">
        <v>184</v>
      </c>
      <c r="D76" s="205"/>
      <c r="E76" s="205"/>
      <c r="F76" s="205" t="str">
        <f>تسعير!$T$4</f>
        <v>جنوب سيناء</v>
      </c>
      <c r="G76" s="204"/>
      <c r="H76" s="230">
        <f>SUMIF(Table17[Column1],Table1612[[#This Row],[موقع العمل]],$S$2:$S$20)</f>
        <v>6000</v>
      </c>
      <c r="I76" s="230"/>
      <c r="J76" s="220">
        <f>Table1612[[#This Row],[Column12]]</f>
        <v>6000</v>
      </c>
      <c r="K76" s="221">
        <f t="shared" si="10"/>
        <v>12000</v>
      </c>
      <c r="L76" s="222">
        <f t="shared" si="11"/>
        <v>0.087702925042695737</v>
      </c>
    </row>
    <row r="77" ht="18.75">
      <c r="A77" s="205">
        <v>13</v>
      </c>
      <c r="B77" s="218">
        <f>B74</f>
        <v>12</v>
      </c>
      <c r="C77" s="206" t="s">
        <v>49</v>
      </c>
      <c r="D77" s="205"/>
      <c r="E77" s="205"/>
      <c r="F77" s="205" t="str">
        <f>تسعير!$T$4</f>
        <v>جنوب سيناء</v>
      </c>
      <c r="G77" s="204"/>
      <c r="H77" s="230">
        <f>SUMIF(Table17[Column1],Table1612[[#This Row],[موقع العمل]],$T$2:$T$20)</f>
        <v>300</v>
      </c>
      <c r="I77" s="230"/>
      <c r="J77" s="220">
        <f>Table1612[[#This Row],[Column12]]</f>
        <v>300</v>
      </c>
      <c r="K77" s="221">
        <f t="shared" si="10"/>
        <v>3600</v>
      </c>
      <c r="L77" s="222">
        <f t="shared" si="11"/>
        <v>0.026310877512808722</v>
      </c>
    </row>
    <row r="78" ht="18.75">
      <c r="A78" s="205" t="s">
        <v>88</v>
      </c>
      <c r="B78" s="218"/>
      <c r="C78" s="219" t="s">
        <v>88</v>
      </c>
      <c r="D78" s="205"/>
      <c r="E78" s="205"/>
      <c r="F78" s="204"/>
      <c r="G78" s="204"/>
      <c r="H78" s="203">
        <f>SUBTOTAL(109,Table1612[Column12])</f>
        <v>11550</v>
      </c>
      <c r="I78" s="205"/>
      <c r="J78" s="226"/>
      <c r="K78" s="221">
        <f>SUBTOTAL(109,Table1612[اجمالي])</f>
        <v>49000</v>
      </c>
      <c r="L78" s="243">
        <f>Table1612[[#Totals],[اجمالي]]/$G$81</f>
        <v>0.35812027725767426</v>
      </c>
    </row>
    <row r="79" ht="18.75">
      <c r="A79" s="203"/>
      <c r="B79" s="203"/>
      <c r="C79" s="231"/>
      <c r="D79" s="630"/>
      <c r="E79" s="630"/>
      <c r="F79" s="630"/>
      <c r="G79" s="630"/>
      <c r="H79" s="630"/>
      <c r="I79" s="630"/>
      <c r="J79" s="203"/>
      <c r="K79" s="203"/>
      <c r="L79" s="203"/>
    </row>
    <row r="80" ht="18.75">
      <c r="A80" s="205"/>
      <c r="B80" s="205"/>
      <c r="C80" s="233" t="s">
        <v>43</v>
      </c>
      <c r="D80" s="205" t="s">
        <v>185</v>
      </c>
      <c r="E80" s="205" t="s">
        <v>186</v>
      </c>
      <c r="F80" s="205" t="s">
        <v>133</v>
      </c>
      <c r="G80" s="205" t="s">
        <v>64</v>
      </c>
      <c r="H80" s="205"/>
      <c r="I80" s="205"/>
      <c r="J80" s="205"/>
      <c r="K80" s="234"/>
      <c r="L80" s="205"/>
    </row>
    <row r="81" ht="18.75">
      <c r="A81" s="205"/>
      <c r="B81" s="201"/>
      <c r="C81" s="219" t="s">
        <v>187</v>
      </c>
      <c r="D81" s="204"/>
      <c r="E81" s="205"/>
      <c r="F81" s="370"/>
      <c r="G81" s="25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136825.53910440425</v>
      </c>
      <c r="H81" s="205"/>
      <c r="I81" s="205"/>
      <c r="J81" s="220"/>
      <c r="K81" s="240"/>
      <c r="L81" s="241"/>
    </row>
    <row r="82" ht="18.75">
      <c r="A82" s="205"/>
      <c r="B82" s="218"/>
      <c r="C82" s="219" t="s">
        <v>188</v>
      </c>
      <c r="D82" s="204"/>
      <c r="E82" s="205"/>
      <c r="F82" s="242">
        <f>IF((F77="المقطم"),0.3,IF((F77="التجمع"),0.3,IF((F77="الشيخ زايد"),0.3,IF((F77="الاسكندرية"),0.5,IF((F77="الساحل"),0.5,0.35)))))</f>
        <v>0.35</v>
      </c>
      <c r="G82" s="251">
        <f>G81*(1+Table18[[#This Row],[Column3]])</f>
        <v>184714.47779094573</v>
      </c>
      <c r="H82" s="205"/>
      <c r="I82" s="205"/>
      <c r="J82" s="220"/>
      <c r="K82" s="240"/>
      <c r="L82" s="241"/>
    </row>
    <row r="83" ht="18.75">
      <c r="A83" s="205"/>
      <c r="B83" s="201"/>
      <c r="H83" s="205"/>
      <c r="I83" s="205"/>
      <c r="J83" s="220"/>
      <c r="K83" s="240"/>
      <c r="L83" s="241"/>
    </row>
    <row r="84" ht="18.75">
      <c r="A84" s="205"/>
      <c r="B84" s="218"/>
      <c r="H84" s="205"/>
      <c r="I84" s="226"/>
      <c r="J84" s="220"/>
      <c r="K84" s="240"/>
      <c r="L84" s="241"/>
    </row>
    <row r="85" ht="18.75">
      <c r="A85" s="205"/>
      <c r="B85" s="201"/>
      <c r="H85" s="205"/>
      <c r="I85" s="226"/>
      <c r="J85" s="230"/>
      <c r="K85" s="240"/>
      <c r="L85" s="241"/>
    </row>
    <row r="86" ht="18.75">
      <c r="A86" s="205"/>
      <c r="B86" s="218"/>
      <c r="H86" s="205"/>
      <c r="I86" s="205"/>
      <c r="J86" s="226"/>
      <c r="K86" s="240"/>
      <c r="L86" s="203"/>
    </row>
  </sheetData>
  <sheetProtection selectLockedCells="1" selectUnlockedCells="1"/>
  <mergeCells>
    <mergeCell ref="D58:I58"/>
    <mergeCell ref="D63:I63"/>
    <mergeCell ref="D79:I79"/>
    <mergeCell ref="G3:I3"/>
    <mergeCell ref="D53:I53"/>
    <mergeCell ref="A1:C2"/>
    <mergeCell ref="A3:B3"/>
    <mergeCell ref="D4:I4"/>
    <mergeCell ref="D33:I33"/>
    <mergeCell ref="D28:I28"/>
    <mergeCell ref="D10:I10"/>
    <mergeCell ref="D15:I15"/>
  </mergeCells>
  <dataValidations count="2">
    <dataValidation type="list" allowBlank="1" showInputMessage="1" showErrorMessage="1" sqref="G65:G77" xr:uid="{FEC35F18-C694-4255-AE52-91D2E5107494}">
      <formula1>$U$4:$U$5</formula1>
    </dataValidation>
    <dataValidation type="list" allowBlank="1" showInputMessage="1" showErrorMessage="1" sqref="F69:F77" xr:uid="{EEDCBACC-C838-4A72-95E6-023D17F10E57}">
      <formula1>$N$2:$N$20</formula1>
    </dataValidation>
  </dataValidations>
  <printOptions horizontalCentered="1" verticalCentered="1"/>
  <pageMargins left="0" right="0" top="0" bottom="0" header="0" footer="0"/>
  <pageSetup paperSize="9" scale="48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bestFit="1" width="18.5703125" customWidth="1" style="1"/>
    <col min="2" max="3" width="9.140625" customWidth="1" style="2"/>
    <col min="4" max="4" width="10" customWidth="1" style="2"/>
    <col min="5" max="7" width="9.140625" customWidth="1" style="2"/>
    <col min="8" max="8" bestFit="1" width="15.140625" customWidth="1" style="2"/>
    <col min="9" max="16384" width="9.140625" customWidth="1" style="2"/>
  </cols>
  <sheetData>
    <row r="1" ht="18" customHeight="1">
      <c r="J1" s="635" t="s">
        <v>0</v>
      </c>
      <c r="K1" s="635"/>
      <c r="L1" s="635"/>
      <c r="M1" s="635"/>
      <c r="N1" s="635"/>
      <c r="O1" s="635"/>
      <c r="P1" s="635"/>
      <c r="Q1" s="635"/>
      <c r="R1" s="635"/>
      <c r="S1" s="635"/>
    </row>
    <row r="2" ht="18" customHeight="1">
      <c r="A2" s="1" t="s">
        <v>1</v>
      </c>
      <c r="B2" s="636">
        <f>Royal!C3</f>
        <v>0</v>
      </c>
      <c r="C2" s="637"/>
      <c r="D2" s="637"/>
      <c r="E2" s="637"/>
      <c r="F2" s="638"/>
      <c r="G2" s="2">
        <v>1</v>
      </c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ht="18" customHeight="1">
      <c r="A3" s="1" t="s">
        <v>2</v>
      </c>
      <c r="F3" s="639" t="s">
        <v>3</v>
      </c>
      <c r="G3" s="639"/>
    </row>
    <row r="4" ht="18" customHeight="1">
      <c r="A4" s="1" t="s">
        <v>4</v>
      </c>
      <c r="F4" s="640" t="s">
        <v>5</v>
      </c>
      <c r="G4" s="641"/>
      <c r="H4" s="641"/>
      <c r="I4" s="642"/>
      <c r="J4" s="3"/>
    </row>
    <row r="5" ht="18" customHeight="1">
      <c r="A5" s="1" t="s">
        <v>6</v>
      </c>
      <c r="F5" s="643" t="s">
        <v>7</v>
      </c>
      <c r="G5" s="644"/>
      <c r="H5" s="644"/>
      <c r="I5" s="645"/>
      <c r="J5" s="3"/>
    </row>
    <row r="6" ht="18" customHeight="1">
      <c r="A6" s="1" t="s">
        <v>8</v>
      </c>
      <c r="Q6" s="646"/>
      <c r="R6" s="646"/>
      <c r="S6" s="646"/>
    </row>
    <row r="7" ht="18" customHeight="1">
      <c r="B7" s="4" t="s">
        <v>9</v>
      </c>
      <c r="C7" s="136">
        <f>تسعير!AA10</f>
        <v>450</v>
      </c>
      <c r="D7" s="5" t="s">
        <v>10</v>
      </c>
      <c r="E7" s="137">
        <f>تسعير!X8</f>
        <v>700</v>
      </c>
    </row>
    <row r="8" ht="18" customHeight="1">
      <c r="F8" s="2">
        <v>5</v>
      </c>
    </row>
    <row r="9" ht="18" customHeight="1">
      <c r="A9" s="1" t="s">
        <v>11</v>
      </c>
    </row>
    <row r="10" ht="18" customHeight="1">
      <c r="A10" s="1" t="s">
        <v>12</v>
      </c>
    </row>
    <row r="11" ht="18" customHeight="1">
      <c r="A11" s="1" t="s">
        <v>13</v>
      </c>
      <c r="B11" s="647" t="s">
        <v>14</v>
      </c>
      <c r="C11" s="648"/>
      <c r="D11" s="644" t="s">
        <v>15</v>
      </c>
      <c r="E11" s="645"/>
    </row>
    <row r="12" ht="18" customHeight="1">
      <c r="A12" s="1" t="s">
        <v>16</v>
      </c>
    </row>
    <row r="13" ht="18" customHeight="1">
      <c r="A13" s="1" t="s">
        <v>17</v>
      </c>
    </row>
    <row r="14" ht="18" customHeight="1"/>
    <row r="15" ht="24.6" customHeight="1">
      <c r="A15" s="1" t="s">
        <v>18</v>
      </c>
      <c r="Q15" s="646"/>
      <c r="R15" s="646"/>
      <c r="S15" s="646"/>
    </row>
    <row r="16" ht="18" customHeight="1">
      <c r="C16" s="639" t="s">
        <v>19</v>
      </c>
      <c r="D16" s="639"/>
      <c r="E16" s="639"/>
      <c r="F16" s="2" t="s">
        <v>20</v>
      </c>
    </row>
    <row r="17" ht="18" customHeight="1">
      <c r="A17" s="639" t="s">
        <v>21</v>
      </c>
      <c r="B17" s="639"/>
      <c r="C17" s="639"/>
    </row>
    <row r="18" ht="18" customHeight="1">
      <c r="A18" s="633" t="s">
        <v>22</v>
      </c>
      <c r="B18" s="634"/>
      <c r="C18" s="6">
        <f>'Format Φωτισμου'!B9</f>
        <v>4</v>
      </c>
    </row>
    <row r="19" ht="18" customHeight="1">
      <c r="A19" s="633" t="s">
        <v>23</v>
      </c>
      <c r="B19" s="634"/>
      <c r="C19" s="6">
        <f>'Format Φωτισμου'!B12</f>
        <v>12</v>
      </c>
    </row>
    <row r="20" ht="18" customHeight="1">
      <c r="A20" s="633" t="s">
        <v>24</v>
      </c>
      <c r="B20" s="634"/>
      <c r="C20" s="6">
        <f>C19/C18</f>
        <v>3</v>
      </c>
    </row>
    <row r="21" ht="18" customHeight="1">
      <c r="A21" s="650" t="s">
        <v>25</v>
      </c>
      <c r="B21" s="651"/>
      <c r="C21" s="652">
        <v>20</v>
      </c>
      <c r="D21" s="653"/>
      <c r="E21" s="647" t="s">
        <v>26</v>
      </c>
      <c r="F21" s="648"/>
      <c r="G21" s="648"/>
      <c r="H21" s="6">
        <f>C21/C18</f>
        <v>5</v>
      </c>
      <c r="J21" s="654"/>
      <c r="K21" s="654"/>
      <c r="L21" s="654"/>
      <c r="M21" s="654"/>
      <c r="N21" s="654"/>
      <c r="O21" s="654"/>
      <c r="P21" s="654"/>
      <c r="Q21" s="654"/>
      <c r="R21" s="654"/>
      <c r="S21" s="654"/>
    </row>
    <row r="22" ht="18" customHeight="1">
      <c r="A22" s="633" t="s">
        <v>27</v>
      </c>
      <c r="B22" s="634"/>
      <c r="C22" s="7">
        <v>50</v>
      </c>
      <c r="D22" s="8" t="s">
        <v>28</v>
      </c>
      <c r="J22" s="654"/>
      <c r="K22" s="654"/>
      <c r="L22" s="654"/>
      <c r="M22" s="654"/>
      <c r="N22" s="654"/>
      <c r="O22" s="654"/>
      <c r="P22" s="654"/>
      <c r="Q22" s="654"/>
      <c r="R22" s="654"/>
      <c r="S22" s="654"/>
    </row>
    <row r="23" ht="18" customHeight="1">
      <c r="J23" s="654"/>
      <c r="K23" s="654"/>
      <c r="L23" s="654"/>
      <c r="M23" s="654"/>
      <c r="N23" s="654"/>
      <c r="O23" s="654"/>
      <c r="P23" s="654"/>
      <c r="Q23" s="654"/>
      <c r="R23" s="654"/>
      <c r="S23" s="654"/>
    </row>
    <row r="24" ht="18" customHeight="1"/>
    <row r="25" ht="18" customHeight="1">
      <c r="A25" s="1" t="s">
        <v>29</v>
      </c>
      <c r="J25" s="649"/>
      <c r="K25" s="649"/>
      <c r="L25" s="649"/>
      <c r="M25" s="649"/>
      <c r="N25" s="649"/>
      <c r="O25" s="649"/>
      <c r="P25" s="649"/>
      <c r="Q25" s="649"/>
      <c r="R25" s="9"/>
      <c r="S25" s="3"/>
    </row>
    <row r="26" ht="18" customHeight="1">
      <c r="G26" s="2" t="s">
        <v>30</v>
      </c>
      <c r="H26" s="2" t="s">
        <v>31</v>
      </c>
    </row>
    <row r="27" ht="18" customHeight="1">
      <c r="A27" s="1" t="s">
        <v>32</v>
      </c>
      <c r="G27" s="10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0">
        <f>IF(Format!J8=3,تسجيل1!G27,IF(Format!J8=1,تسجيل1!G27-2,IF(Format!J8=2,تسجيل1!G27-1,IF(Format!J8=4,تسجيل1!G27+1,IF(Format!J8=5,تسجيل1!G27+2)))))</f>
        <v>3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" t="s">
        <v>33</v>
      </c>
      <c r="G28" s="10">
        <f>IF(Format!A7=1,Format!E31,IF(Format!A7=2,Format!E31,IF(Format!A7=3,Format!E31,IF(Format!A7=4,Format!E31,IF(Format!A7=5,Format!E31,Format!U31)))))</f>
        <v>10</v>
      </c>
      <c r="H28" s="10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0">
        <f>IF(H27=2,2,H27+1)</f>
        <v>4</v>
      </c>
      <c r="H29" s="10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9"/>
      <c r="O29" s="9"/>
    </row>
    <row r="30" ht="18" customHeight="1">
      <c r="A30" s="1" t="s">
        <v>13</v>
      </c>
      <c r="G30" s="10">
        <f>G27</f>
        <v>3</v>
      </c>
      <c r="H30" s="10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J25:Q25"/>
    <mergeCell ref="J27:S27"/>
    <mergeCell ref="A19:B19"/>
    <mergeCell ref="A20:B20"/>
    <mergeCell ref="A21:B21"/>
    <mergeCell ref="C21:D21"/>
    <mergeCell ref="E21:G21"/>
    <mergeCell ref="J21:S23"/>
    <mergeCell ref="A22:B22"/>
    <mergeCell ref="A18:B18"/>
    <mergeCell ref="J1:S2"/>
    <mergeCell ref="B2:F2"/>
    <mergeCell ref="F3:G3"/>
    <mergeCell ref="F4:I4"/>
    <mergeCell ref="F5:I5"/>
    <mergeCell ref="Q6:S6"/>
    <mergeCell ref="B11:C11"/>
    <mergeCell ref="D11:E11"/>
    <mergeCell ref="Q15:S15"/>
    <mergeCell ref="C16:E16"/>
    <mergeCell ref="A17:C17"/>
  </mergeCells>
  <pageMargins left="0.25" right="0.25" top="0.75" bottom="0.75" header="0.3" footer="0.3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autoLin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topLeftCell="O19" zoomScale="70" zoomScaleNormal="70" workbookViewId="0">
      <selection activeCell="V39" sqref="V39"/>
    </sheetView>
  </sheetViews>
  <sheetFormatPr defaultColWidth="9.140625" defaultRowHeight="18.75"/>
  <cols>
    <col min="1" max="1" bestFit="1" width="2.7109375" customWidth="1" style="3"/>
    <col min="2" max="5" width="8.7109375" customWidth="1" style="3"/>
    <col min="6" max="6" bestFit="1" width="4.85546875" customWidth="1" style="3"/>
    <col min="7" max="7" bestFit="1" width="8.28515625" customWidth="1" style="3"/>
    <col min="8" max="8" bestFit="1" width="2.7109375" customWidth="1" style="3"/>
    <col min="9" max="12" width="8.7109375" customWidth="1" style="3"/>
    <col min="13" max="13" bestFit="1" width="4.85546875" customWidth="1" style="3"/>
    <col min="14" max="14" width="9.140625" customWidth="1" style="13"/>
    <col min="15" max="15" width="14.140625" customWidth="1" style="13"/>
    <col min="16" max="16" bestFit="1" width="11.5703125" customWidth="1" style="154"/>
    <col min="17" max="17" width="8.28515625" customWidth="1" style="154"/>
    <col min="18" max="18" width="7.5703125" customWidth="1" style="154"/>
    <col min="19" max="19" bestFit="1" width="11.28515625" customWidth="1" style="154"/>
    <col min="20" max="20" bestFit="1" width="37.5703125" customWidth="1" style="143"/>
    <col min="21" max="21" bestFit="1" width="19.42578125" customWidth="1" style="154"/>
    <col min="22" max="22" width="13.5703125" customWidth="1" style="154"/>
    <col min="23" max="23" width="43" customWidth="1" style="154"/>
    <col min="24" max="24" bestFit="1" width="25.5703125" customWidth="1" style="154"/>
    <col min="25" max="25" bestFit="1" width="8.5703125" customWidth="1" style="154"/>
    <col min="26" max="26" bestFit="1" width="10.7109375" customWidth="1" style="154"/>
    <col min="27" max="28" bestFit="1" width="9.42578125" customWidth="1" style="163"/>
    <col min="29" max="30" width="9.140625" customWidth="1" style="12"/>
    <col min="31" max="52" width="9.140625" customWidth="1" style="3"/>
    <col min="53" max="16384" width="9.140625" customWidth="1" style="3"/>
  </cols>
  <sheetData>
    <row r="1" ht="40.5" customHeight="1">
      <c r="A1" s="655" t="s">
        <v>518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7"/>
      <c r="O1" s="11"/>
      <c r="P1" s="142"/>
      <c r="Q1" s="142"/>
      <c r="R1" s="142"/>
      <c r="W1" s="155">
        <f>IF(تسعير!T6="سادة",Royal!J2+20000,IF(تسعير!T6="خشبي",Royal!J2+40000,0))</f>
        <v>172000</v>
      </c>
      <c r="X1" s="154" t="s">
        <v>519</v>
      </c>
      <c r="Y1" s="155" t="e">
        <f>Royal!#REF!</f>
        <v>#REF!</v>
      </c>
      <c r="Z1" s="166" t="s">
        <v>520</v>
      </c>
      <c r="AA1" s="154"/>
      <c r="AB1" s="154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Z2" s="166"/>
      <c r="AA2" s="154"/>
      <c r="AB2" s="154"/>
    </row>
    <row r="3" ht="12.75" customHeight="1">
      <c r="A3" s="658" t="s">
        <v>1</v>
      </c>
      <c r="B3" s="658"/>
      <c r="C3" s="658"/>
      <c r="D3" s="660">
        <f>تسجيل1!B2</f>
        <v>0</v>
      </c>
      <c r="E3" s="660"/>
      <c r="F3" s="660"/>
      <c r="G3" s="660"/>
      <c r="H3" s="660"/>
      <c r="I3" s="660"/>
      <c r="J3" s="660"/>
      <c r="K3" s="660"/>
      <c r="L3" s="660"/>
      <c r="M3" s="662" t="s">
        <v>521</v>
      </c>
      <c r="N3" s="662"/>
      <c r="O3" s="14"/>
      <c r="P3" s="144"/>
      <c r="Q3" s="144"/>
      <c r="R3" s="144"/>
      <c r="Z3" s="166"/>
      <c r="AA3" s="154"/>
      <c r="AB3" s="154"/>
    </row>
    <row r="4" ht="13.5" customHeight="1">
      <c r="A4" s="659"/>
      <c r="B4" s="659"/>
      <c r="C4" s="659"/>
      <c r="D4" s="661"/>
      <c r="E4" s="661"/>
      <c r="F4" s="661"/>
      <c r="G4" s="660"/>
      <c r="H4" s="660"/>
      <c r="I4" s="661"/>
      <c r="J4" s="661"/>
      <c r="K4" s="661"/>
      <c r="L4" s="661"/>
      <c r="M4" s="663"/>
      <c r="N4" s="663"/>
      <c r="O4" s="15"/>
      <c r="P4" s="145"/>
      <c r="Q4" s="145"/>
      <c r="R4" s="145"/>
      <c r="Z4" s="166"/>
      <c r="AA4" s="154"/>
      <c r="AB4" s="154"/>
    </row>
    <row r="5" ht="13.5" customHeight="1">
      <c r="A5" s="664" t="e">
        <f>Y1</f>
        <v>#REF!</v>
      </c>
      <c r="B5" s="665"/>
      <c r="C5" s="666"/>
      <c r="D5" s="667" t="s">
        <v>520</v>
      </c>
      <c r="E5" s="668"/>
      <c r="F5" s="669"/>
      <c r="G5" s="16"/>
      <c r="H5" s="16"/>
      <c r="I5" s="664">
        <f>W1</f>
        <v>172000</v>
      </c>
      <c r="J5" s="665"/>
      <c r="K5" s="666"/>
      <c r="L5" s="667" t="s">
        <v>522</v>
      </c>
      <c r="M5" s="668"/>
      <c r="N5" s="669"/>
      <c r="O5" s="17"/>
      <c r="P5" s="145"/>
      <c r="Q5" s="145"/>
      <c r="R5" s="145"/>
      <c r="Z5" s="166"/>
      <c r="AA5" s="154"/>
      <c r="AB5" s="154"/>
    </row>
    <row r="6" ht="16.5" customHeight="1">
      <c r="A6" s="676" t="s">
        <v>268</v>
      </c>
      <c r="B6" s="677"/>
      <c r="C6" s="678"/>
      <c r="D6" s="682" t="s">
        <v>523</v>
      </c>
      <c r="E6" s="684" t="s">
        <v>8</v>
      </c>
      <c r="F6" s="685"/>
      <c r="G6" s="686"/>
      <c r="H6" s="686"/>
      <c r="I6" s="685"/>
      <c r="J6" s="687"/>
      <c r="K6" s="688">
        <f>تسجيل1!C7</f>
        <v>450</v>
      </c>
      <c r="L6" s="688"/>
      <c r="M6" s="18" t="s">
        <v>524</v>
      </c>
      <c r="N6" s="19">
        <f>تسجيل1!E7</f>
        <v>700</v>
      </c>
      <c r="O6" s="140" t="s">
        <v>162</v>
      </c>
      <c r="P6" s="146"/>
      <c r="Q6" s="146"/>
      <c r="R6" s="146"/>
      <c r="Z6" s="166"/>
      <c r="AA6" s="154"/>
      <c r="AB6" s="154"/>
    </row>
    <row r="7" ht="21.75">
      <c r="A7" s="676"/>
      <c r="B7" s="677"/>
      <c r="C7" s="678"/>
      <c r="D7" s="682"/>
      <c r="E7" s="689" t="s">
        <v>525</v>
      </c>
      <c r="F7" s="686"/>
      <c r="G7" s="686"/>
      <c r="H7" s="686"/>
      <c r="I7" s="686"/>
      <c r="J7" s="690"/>
      <c r="K7" s="691">
        <f>K6*N6/10000</f>
        <v>31.5</v>
      </c>
      <c r="L7" s="691"/>
      <c r="M7" s="691"/>
      <c r="N7" s="20" t="s">
        <v>526</v>
      </c>
      <c r="O7" s="141">
        <f>AA41/K7</f>
        <v>1990.4043385995503</v>
      </c>
      <c r="S7" s="154" t="s">
        <v>162</v>
      </c>
      <c r="T7" s="143" t="s">
        <v>527</v>
      </c>
      <c r="Z7" s="166"/>
      <c r="AA7" s="154"/>
      <c r="AB7" s="154"/>
    </row>
    <row r="8">
      <c r="A8" s="679"/>
      <c r="B8" s="680"/>
      <c r="C8" s="681"/>
      <c r="D8" s="683"/>
      <c r="E8" s="692" t="s">
        <v>528</v>
      </c>
      <c r="F8" s="693"/>
      <c r="G8" s="693"/>
      <c r="H8" s="693"/>
      <c r="I8" s="693"/>
      <c r="J8" s="694"/>
      <c r="K8" s="695">
        <f>K6-1</f>
        <v>449</v>
      </c>
      <c r="L8" s="695"/>
      <c r="M8" s="152" t="s">
        <v>529</v>
      </c>
      <c r="N8" s="153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38">
        <f>O7*K7</f>
        <v>62697.736665885837</v>
      </c>
      <c r="P8" s="148"/>
      <c r="Q8" s="148"/>
      <c r="R8" s="148"/>
      <c r="S8" s="148">
        <f>Sheet2!B16</f>
        <v>225</v>
      </c>
      <c r="T8" s="156">
        <f>((K8*N8)/10000)*1.2</f>
        <v>36.207359999999994</v>
      </c>
      <c r="U8" s="162">
        <f>T8*S8</f>
        <v>8146.655999999999</v>
      </c>
      <c r="Z8" s="166"/>
      <c r="AA8" s="154"/>
      <c r="AB8" s="154"/>
    </row>
    <row r="9">
      <c r="V9" s="144"/>
      <c r="Z9" s="166"/>
      <c r="AA9" s="154"/>
      <c r="AB9" s="154"/>
    </row>
    <row r="10" ht="30" customHeight="1">
      <c r="A10" s="699" t="s">
        <v>530</v>
      </c>
      <c r="B10" s="699"/>
      <c r="C10" s="699"/>
      <c r="D10" s="699"/>
      <c r="E10" s="699"/>
      <c r="F10" s="699"/>
      <c r="G10" s="700" t="s">
        <v>426</v>
      </c>
      <c r="H10" s="700"/>
      <c r="I10" s="700" t="s">
        <v>531</v>
      </c>
      <c r="J10" s="700"/>
      <c r="K10" s="21"/>
      <c r="L10" s="670" t="s">
        <v>32</v>
      </c>
      <c r="M10" s="670"/>
      <c r="N10" s="670"/>
      <c r="O10" s="22"/>
      <c r="P10" s="146"/>
      <c r="Q10" s="146"/>
      <c r="R10" s="146"/>
      <c r="S10" s="144" t="s">
        <v>532</v>
      </c>
      <c r="T10" s="144" t="s">
        <v>533</v>
      </c>
      <c r="U10" s="144" t="s">
        <v>534</v>
      </c>
      <c r="V10" s="144" t="s">
        <v>535</v>
      </c>
      <c r="W10" s="154" t="s">
        <v>536</v>
      </c>
      <c r="X10" s="154" t="s">
        <v>252</v>
      </c>
      <c r="Z10" s="166"/>
      <c r="AA10" s="154"/>
      <c r="AB10" s="154"/>
    </row>
    <row r="11" ht="20.1" customHeight="1">
      <c r="A11" s="671" t="s">
        <v>537</v>
      </c>
      <c r="B11" s="672"/>
      <c r="C11" s="672"/>
      <c r="D11" s="672"/>
      <c r="E11" s="672"/>
      <c r="F11" s="673"/>
      <c r="G11" s="674">
        <f>L11</f>
        <v>3</v>
      </c>
      <c r="H11" s="674"/>
      <c r="I11" s="675">
        <f>'Format διαστασης οδηγου'!F8</f>
        <v>665</v>
      </c>
      <c r="J11" s="675"/>
      <c r="K11" s="23"/>
      <c r="L11" s="670">
        <f>IF(Format!A7=1,تسجيل1!H27,IF(Format!A7=2,تسجيل1!H27,IF(Format!A7=3,تسجيل1!H27,IF(Format!A7=4,تسجيل1!H27,IF(Format!A7=5,تسجيل1!H27,"-------")))))</f>
        <v>3</v>
      </c>
      <c r="M11" s="670"/>
      <c r="N11" s="670"/>
      <c r="O11" s="22"/>
      <c r="P11" s="147">
        <f>IF(I11&lt;=500,5,0)</f>
        <v>0</v>
      </c>
      <c r="Q11" s="147">
        <f>IF(I11&gt;500,7,0)</f>
        <v>7</v>
      </c>
      <c r="R11" s="147">
        <f>IF(I11&gt;700,8,0)</f>
        <v>0</v>
      </c>
      <c r="S11" s="148">
        <f>MAX(P11:R11)</f>
        <v>7</v>
      </c>
      <c r="T11" s="149">
        <f>(G11*I11)/S11/100</f>
        <v>2.85</v>
      </c>
      <c r="U11" s="148">
        <f>CEILING(T11,0.5)</f>
        <v>3</v>
      </c>
      <c r="V11" s="148">
        <f>U11*S11</f>
        <v>21</v>
      </c>
      <c r="W11" s="157">
        <v>4.4562770562770568</v>
      </c>
      <c r="X11" s="172">
        <f>($W$1/1000)*W11*V11</f>
        <v>16096.072727272729</v>
      </c>
      <c r="Z11" s="166"/>
      <c r="AA11" s="154"/>
      <c r="AB11" s="154"/>
    </row>
    <row r="12" ht="20.1" customHeight="1">
      <c r="A12" s="696" t="s">
        <v>538</v>
      </c>
      <c r="B12" s="696"/>
      <c r="C12" s="696"/>
      <c r="D12" s="696"/>
      <c r="E12" s="696"/>
      <c r="F12" s="696"/>
      <c r="G12" s="697">
        <f>IF(L11&gt;2,4,IF(L11=2,2))</f>
        <v>4</v>
      </c>
      <c r="H12" s="697"/>
      <c r="I12" s="69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222</v>
      </c>
      <c r="J12" s="698"/>
      <c r="K12" s="23"/>
      <c r="P12" s="148">
        <f>IF(I12&lt;=300,3,0)</f>
        <v>3</v>
      </c>
      <c r="Q12" s="148">
        <f>IF(I12&gt;300,3.5,0)</f>
        <v>0</v>
      </c>
      <c r="R12" s="148">
        <f>IF(I12&gt;350,4,0)</f>
        <v>0</v>
      </c>
      <c r="S12" s="148">
        <f>MAX(P12:R12)</f>
        <v>3</v>
      </c>
      <c r="T12" s="149">
        <f>(G12*I12)/S12/100</f>
        <v>2.96</v>
      </c>
      <c r="U12" s="148">
        <f ref="U12:U21" t="shared" si="0">CEILING(T12,0.25)</f>
        <v>3</v>
      </c>
      <c r="V12" s="148">
        <f ref="V12:V20" t="shared" si="1">G12*S12</f>
        <v>12</v>
      </c>
      <c r="W12" s="157">
        <v>1.8637873754152825</v>
      </c>
      <c r="X12" s="172">
        <f>($W$1/1000)*W12*V12</f>
        <v>3846.8571428571431</v>
      </c>
      <c r="Z12" s="166"/>
      <c r="AA12" s="154"/>
      <c r="AB12" s="154"/>
    </row>
    <row r="13" ht="20.1" customHeight="1">
      <c r="A13" s="696" t="s">
        <v>539</v>
      </c>
      <c r="B13" s="696"/>
      <c r="C13" s="696"/>
      <c r="D13" s="696"/>
      <c r="E13" s="696"/>
      <c r="F13" s="696"/>
      <c r="G13" s="697" t="str">
        <f>IF(L11&lt;=3,"0",(L11-3)*2)</f>
        <v>0</v>
      </c>
      <c r="H13" s="697"/>
      <c r="I13" s="698">
        <f>IF(G13="-------","-------",L17-5)</f>
        <v>215.5</v>
      </c>
      <c r="J13" s="698"/>
      <c r="K13" s="23"/>
      <c r="L13" s="703" t="s">
        <v>436</v>
      </c>
      <c r="M13" s="703"/>
      <c r="N13" s="703"/>
      <c r="O13" s="24"/>
      <c r="P13" s="148">
        <f ref="P13:P20" t="shared" si="2">IF(I13&lt;=300,3,0)</f>
        <v>3</v>
      </c>
      <c r="Q13" s="148">
        <f ref="Q13:Q20" t="shared" si="3">IF(I13&gt;300,3.5,0)</f>
        <v>0</v>
      </c>
      <c r="R13" s="148">
        <f ref="R13:R20" t="shared" si="4">IF(I13&gt;350,4,0)</f>
        <v>0</v>
      </c>
      <c r="S13" s="148">
        <f ref="S13:S20" t="shared" si="5">MAX(P13:R13)</f>
        <v>3</v>
      </c>
      <c r="T13" s="149">
        <f ref="T13:T20" t="shared" si="6">(G13*I13)/S13/100</f>
        <v>0</v>
      </c>
      <c r="U13" s="148">
        <f t="shared" si="0"/>
        <v>0</v>
      </c>
      <c r="V13" s="148">
        <f t="shared" si="1"/>
        <v>0</v>
      </c>
      <c r="W13" s="157">
        <v>1.8637873754152825</v>
      </c>
      <c r="X13" s="172">
        <f ref="X13:X20" t="shared" si="7">($W$1/1000)*W13*V13</f>
        <v>0</v>
      </c>
      <c r="Z13" s="166"/>
      <c r="AA13" s="154"/>
      <c r="AB13" s="154"/>
    </row>
    <row r="14" ht="20.1" customHeight="1">
      <c r="A14" s="696" t="s">
        <v>540</v>
      </c>
      <c r="B14" s="696"/>
      <c r="C14" s="696"/>
      <c r="D14" s="696"/>
      <c r="E14" s="696"/>
      <c r="F14" s="696"/>
      <c r="G14" s="697">
        <f>IF(L11&gt;2,2*L14,IF(L11=2,L14))</f>
        <v>20</v>
      </c>
      <c r="H14" s="697"/>
      <c r="I14" s="698">
        <f>I12</f>
        <v>222</v>
      </c>
      <c r="J14" s="698"/>
      <c r="K14" s="23"/>
      <c r="L14" s="25">
        <f>تسجيل1!H28</f>
        <v>10</v>
      </c>
      <c r="M14" s="26" t="s">
        <v>440</v>
      </c>
      <c r="N14" s="25">
        <v>2</v>
      </c>
      <c r="O14" s="27"/>
      <c r="P14" s="148">
        <f t="shared" si="2"/>
        <v>3</v>
      </c>
      <c r="Q14" s="148">
        <f t="shared" si="3"/>
        <v>0</v>
      </c>
      <c r="R14" s="148">
        <f t="shared" si="4"/>
        <v>0</v>
      </c>
      <c r="S14" s="148">
        <f t="shared" si="5"/>
        <v>3</v>
      </c>
      <c r="T14" s="149">
        <f t="shared" si="6"/>
        <v>14.8</v>
      </c>
      <c r="U14" s="148">
        <f>CEILING(T14,0.5)</f>
        <v>15</v>
      </c>
      <c r="V14" s="148">
        <f t="shared" si="1"/>
        <v>60</v>
      </c>
      <c r="W14" s="157">
        <v>1.0517241379310345</v>
      </c>
      <c r="X14" s="172">
        <f t="shared" si="7"/>
        <v>10853.793103448275</v>
      </c>
      <c r="Z14" s="166"/>
      <c r="AA14" s="154"/>
      <c r="AB14" s="154"/>
    </row>
    <row r="15" ht="20.1" customHeight="1">
      <c r="A15" s="696" t="s">
        <v>541</v>
      </c>
      <c r="B15" s="696"/>
      <c r="C15" s="696"/>
      <c r="D15" s="696"/>
      <c r="E15" s="696"/>
      <c r="F15" s="696"/>
      <c r="G15" s="697" t="str">
        <f>IF(L11&lt;=3,"0",(L11-3)*L14)</f>
        <v>0</v>
      </c>
      <c r="H15" s="697"/>
      <c r="I15" s="698">
        <f>IF(G15="-------","---------",I13)</f>
        <v>215.5</v>
      </c>
      <c r="J15" s="698"/>
      <c r="K15" s="23"/>
      <c r="L15" s="23"/>
      <c r="M15" s="23"/>
      <c r="N15" s="23"/>
      <c r="O15" s="23"/>
      <c r="P15" s="148">
        <f t="shared" si="2"/>
        <v>3</v>
      </c>
      <c r="Q15" s="148">
        <f t="shared" si="3"/>
        <v>0</v>
      </c>
      <c r="R15" s="148">
        <f t="shared" si="4"/>
        <v>0</v>
      </c>
      <c r="S15" s="148">
        <f t="shared" si="5"/>
        <v>3</v>
      </c>
      <c r="T15" s="149">
        <f t="shared" si="6"/>
        <v>0</v>
      </c>
      <c r="U15" s="148">
        <f>CEILING(T15,0.5)</f>
        <v>0</v>
      </c>
      <c r="V15" s="148">
        <f t="shared" si="1"/>
        <v>0</v>
      </c>
      <c r="W15" s="157">
        <v>1.0517241379310345</v>
      </c>
      <c r="X15" s="172">
        <f t="shared" si="7"/>
        <v>0</v>
      </c>
      <c r="Z15" s="166"/>
      <c r="AA15" s="154"/>
      <c r="AB15" s="154"/>
    </row>
    <row r="16" ht="20.1" customHeight="1">
      <c r="A16" s="696" t="s">
        <v>542</v>
      </c>
      <c r="B16" s="696"/>
      <c r="C16" s="696"/>
      <c r="D16" s="696"/>
      <c r="E16" s="696"/>
      <c r="F16" s="696"/>
      <c r="G16" s="697">
        <v>1</v>
      </c>
      <c r="H16" s="697"/>
      <c r="I16" s="69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223.5</v>
      </c>
      <c r="J16" s="698"/>
      <c r="K16" s="23"/>
      <c r="L16" s="701" t="s">
        <v>543</v>
      </c>
      <c r="M16" s="701"/>
      <c r="N16" s="701"/>
      <c r="O16" s="27"/>
      <c r="P16" s="148">
        <f t="shared" si="2"/>
        <v>3</v>
      </c>
      <c r="Q16" s="148">
        <f t="shared" si="3"/>
        <v>0</v>
      </c>
      <c r="R16" s="148">
        <f t="shared" si="4"/>
        <v>0</v>
      </c>
      <c r="S16" s="148">
        <f t="shared" si="5"/>
        <v>3</v>
      </c>
      <c r="T16" s="149">
        <f t="shared" si="6"/>
        <v>0.745</v>
      </c>
      <c r="U16" s="148">
        <f>CEILING(T16,0.5)</f>
        <v>1</v>
      </c>
      <c r="V16" s="148">
        <f t="shared" si="1"/>
        <v>3</v>
      </c>
      <c r="W16" s="157">
        <v>1.394871794871795</v>
      </c>
      <c r="X16" s="172">
        <f t="shared" si="7"/>
        <v>719.75384615384621</v>
      </c>
      <c r="Z16" s="166"/>
      <c r="AA16" s="154"/>
      <c r="AB16" s="154"/>
    </row>
    <row r="17" ht="20.1" customHeight="1">
      <c r="A17" s="696" t="s">
        <v>544</v>
      </c>
      <c r="B17" s="696"/>
      <c r="C17" s="696"/>
      <c r="D17" s="696"/>
      <c r="E17" s="696"/>
      <c r="F17" s="696"/>
      <c r="G17" s="697">
        <f>IF(L11=2,"0",1)</f>
        <v>1</v>
      </c>
      <c r="H17" s="697"/>
      <c r="I17" s="698">
        <f>IF(G17="-------","-------",IF(Format!A7=1,(L17+3),IF(Format!A7=2,(L17+3.5),IF(Format!A7=3,(L17+3),IF(Format!A7=4,(L17+4.25),IF(Format!A7=5,(L17+5),"--------"))))))</f>
        <v>224</v>
      </c>
      <c r="J17" s="698"/>
      <c r="K17" s="23"/>
      <c r="L17" s="702">
        <f>IF(Format!A7=1,(K6-2-6)/(L11-1),IF(Format!A7=2,(K6-2-7)/(L11-1),IF(Format!A7=3,(K6-2-6)/(L11-1),IF(Format!A7=4,(K6-2-8.5)/(L11-1),IF(Format!A7=5,(K6-2-10)/(L11-1),"--------")))))</f>
        <v>220.5</v>
      </c>
      <c r="M17" s="702"/>
      <c r="N17" s="702"/>
      <c r="O17" s="28"/>
      <c r="P17" s="148">
        <f t="shared" si="2"/>
        <v>3</v>
      </c>
      <c r="Q17" s="148">
        <f t="shared" si="3"/>
        <v>0</v>
      </c>
      <c r="R17" s="148">
        <f t="shared" si="4"/>
        <v>0</v>
      </c>
      <c r="S17" s="148">
        <f t="shared" si="5"/>
        <v>3</v>
      </c>
      <c r="T17" s="149">
        <f t="shared" si="6"/>
        <v>0.7466666666666667</v>
      </c>
      <c r="U17" s="148">
        <f>CEILING(T17,0.5)</f>
        <v>1</v>
      </c>
      <c r="V17" s="148">
        <f t="shared" si="1"/>
        <v>3</v>
      </c>
      <c r="W17" s="157">
        <v>1.394871794871795</v>
      </c>
      <c r="X17" s="172">
        <f t="shared" si="7"/>
        <v>719.75384615384621</v>
      </c>
      <c r="Z17" s="166"/>
      <c r="AA17" s="154"/>
      <c r="AB17" s="154"/>
    </row>
    <row r="18" ht="20.1" customHeight="1">
      <c r="A18" s="696" t="s">
        <v>545</v>
      </c>
      <c r="B18" s="696"/>
      <c r="C18" s="696"/>
      <c r="D18" s="696"/>
      <c r="E18" s="696"/>
      <c r="F18" s="696"/>
      <c r="G18" s="697" t="str">
        <f>IF(L11&lt;=3,"0",(L11-3))</f>
        <v>0</v>
      </c>
      <c r="H18" s="697"/>
      <c r="I18" s="698">
        <f>IF(G18="-------","-------",L17)</f>
        <v>220.5</v>
      </c>
      <c r="J18" s="698"/>
      <c r="K18" s="23"/>
      <c r="L18" s="23"/>
      <c r="M18" s="23"/>
      <c r="N18" s="23"/>
      <c r="O18" s="23"/>
      <c r="P18" s="148">
        <f t="shared" si="2"/>
        <v>3</v>
      </c>
      <c r="Q18" s="148">
        <f t="shared" si="3"/>
        <v>0</v>
      </c>
      <c r="R18" s="148">
        <f t="shared" si="4"/>
        <v>0</v>
      </c>
      <c r="S18" s="148">
        <f t="shared" si="5"/>
        <v>3</v>
      </c>
      <c r="T18" s="149">
        <f t="shared" si="6"/>
        <v>0</v>
      </c>
      <c r="U18" s="148">
        <f t="shared" si="0"/>
        <v>0</v>
      </c>
      <c r="V18" s="148">
        <f t="shared" si="1"/>
        <v>0</v>
      </c>
      <c r="W18" s="157">
        <v>1.394871794871795</v>
      </c>
      <c r="X18" s="172">
        <f t="shared" si="7"/>
        <v>0</v>
      </c>
      <c r="Z18" s="166"/>
      <c r="AA18" s="154"/>
      <c r="AB18" s="154"/>
    </row>
    <row r="19" ht="20.1" customHeight="1">
      <c r="A19" s="696" t="str">
        <f>IF(Format!H4=1,"Balloon","-------")</f>
        <v>-------</v>
      </c>
      <c r="B19" s="696"/>
      <c r="C19" s="696"/>
      <c r="D19" s="696"/>
      <c r="E19" s="696"/>
      <c r="F19" s="696"/>
      <c r="G19" s="697" t="str">
        <f>IF([1]Format!H4=1,'[1]تقطيع البرجولة'!L14,"0")</f>
        <v>0</v>
      </c>
      <c r="H19" s="697"/>
      <c r="I19" s="698">
        <f>IF(G19="-------","-------",K6-2.5)</f>
        <v>447.5</v>
      </c>
      <c r="J19" s="698"/>
      <c r="K19" s="23"/>
      <c r="L19" s="709" t="s">
        <v>13</v>
      </c>
      <c r="M19" s="710"/>
      <c r="N19" s="711"/>
      <c r="O19" s="27"/>
      <c r="P19" s="148">
        <f t="shared" si="2"/>
        <v>0</v>
      </c>
      <c r="Q19" s="148">
        <f t="shared" si="3"/>
        <v>3.5</v>
      </c>
      <c r="R19" s="148">
        <f t="shared" si="4"/>
        <v>4</v>
      </c>
      <c r="S19" s="148">
        <f t="shared" si="5"/>
        <v>4</v>
      </c>
      <c r="T19" s="149">
        <f t="shared" si="6"/>
        <v>0</v>
      </c>
      <c r="U19" s="148">
        <f t="shared" si="0"/>
        <v>0</v>
      </c>
      <c r="V19" s="148">
        <f t="shared" si="1"/>
        <v>0</v>
      </c>
      <c r="W19" s="148"/>
      <c r="X19" s="172">
        <f t="shared" si="7"/>
        <v>0</v>
      </c>
      <c r="Z19" s="166"/>
      <c r="AA19" s="154"/>
      <c r="AB19" s="154"/>
    </row>
    <row r="20" ht="20.1" customHeight="1">
      <c r="A20" s="716" t="s">
        <v>546</v>
      </c>
      <c r="B20" s="717"/>
      <c r="C20" s="717"/>
      <c r="D20" s="717"/>
      <c r="E20" s="717"/>
      <c r="F20" s="718"/>
      <c r="G20" s="716">
        <f>(G12+G13)/2</f>
        <v>2</v>
      </c>
      <c r="H20" s="717"/>
      <c r="I20" s="698">
        <f>L17-7</f>
        <v>213.5</v>
      </c>
      <c r="J20" s="698"/>
      <c r="K20" s="23"/>
      <c r="L20" s="29" t="s">
        <v>426</v>
      </c>
      <c r="M20" s="712" t="s">
        <v>547</v>
      </c>
      <c r="N20" s="712"/>
      <c r="O20" s="30"/>
      <c r="P20" s="148">
        <f t="shared" si="2"/>
        <v>3</v>
      </c>
      <c r="Q20" s="148">
        <f t="shared" si="3"/>
        <v>0</v>
      </c>
      <c r="R20" s="148">
        <f t="shared" si="4"/>
        <v>0</v>
      </c>
      <c r="S20" s="148">
        <f t="shared" si="5"/>
        <v>3</v>
      </c>
      <c r="T20" s="149">
        <f t="shared" si="6"/>
        <v>1.4233333333333333</v>
      </c>
      <c r="U20" s="148">
        <f t="shared" si="0"/>
        <v>1.5</v>
      </c>
      <c r="V20" s="148">
        <f t="shared" si="1"/>
        <v>6</v>
      </c>
      <c r="W20" s="148">
        <v>1.65</v>
      </c>
      <c r="X20" s="172">
        <f t="shared" si="7"/>
        <v>1702.8000000000002</v>
      </c>
      <c r="Z20" s="166"/>
      <c r="AA20" s="154"/>
      <c r="AB20" s="154"/>
    </row>
    <row r="21" ht="20.1" customHeight="1">
      <c r="A21" s="713" t="s">
        <v>548</v>
      </c>
      <c r="B21" s="713"/>
      <c r="C21" s="713"/>
      <c r="D21" s="713"/>
      <c r="E21" s="713"/>
      <c r="F21" s="713"/>
      <c r="G21" s="714">
        <f>L11</f>
        <v>3</v>
      </c>
      <c r="H21" s="714"/>
      <c r="I21" s="715">
        <f>(I11*2)+45</f>
        <v>1375</v>
      </c>
      <c r="J21" s="715"/>
      <c r="K21" s="23"/>
      <c r="L21" s="31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27"/>
      <c r="P21" s="177"/>
      <c r="Q21" s="177"/>
      <c r="R21" s="177"/>
      <c r="S21" s="165">
        <v>1</v>
      </c>
      <c r="T21" s="164">
        <f>(G21*I21)/100</f>
        <v>41.25</v>
      </c>
      <c r="U21" s="165">
        <f t="shared" si="0"/>
        <v>41.25</v>
      </c>
      <c r="V21" s="165">
        <f>U21*S21</f>
        <v>41.25</v>
      </c>
      <c r="W21" s="165">
        <f>Sheet2!B17</f>
        <v>175</v>
      </c>
      <c r="X21" s="173">
        <f>W21*V21</f>
        <v>7218.75</v>
      </c>
      <c r="Z21" s="166"/>
      <c r="AA21" s="154"/>
      <c r="AB21" s="154"/>
    </row>
    <row r="22" ht="20.1" customHeight="1">
      <c r="A22" s="32"/>
      <c r="B22" s="32"/>
      <c r="C22" s="32"/>
      <c r="D22" s="32"/>
      <c r="E22" s="32"/>
      <c r="F22" s="32"/>
      <c r="G22" s="33"/>
      <c r="H22" s="33"/>
      <c r="I22" s="34"/>
      <c r="J22" s="34"/>
      <c r="K22" s="23"/>
      <c r="L22" s="27"/>
      <c r="M22" s="27"/>
      <c r="N22" s="35"/>
      <c r="O22" s="35"/>
      <c r="P22" s="178"/>
      <c r="Q22" s="178"/>
      <c r="R22" s="178"/>
      <c r="X22" s="174">
        <f>SUM(X11:X18,X21)</f>
        <v>39454.980665885843</v>
      </c>
      <c r="Z22" s="166"/>
      <c r="AA22" s="154"/>
      <c r="AB22" s="154"/>
    </row>
    <row r="23" ht="20.1" customHeight="1">
      <c r="A23" s="704" t="s">
        <v>549</v>
      </c>
      <c r="B23" s="705"/>
      <c r="C23" s="705"/>
      <c r="D23" s="705"/>
      <c r="E23" s="706"/>
      <c r="F23" s="36" t="s">
        <v>550</v>
      </c>
      <c r="G23" s="37"/>
      <c r="H23" s="704" t="s">
        <v>551</v>
      </c>
      <c r="I23" s="705"/>
      <c r="J23" s="705"/>
      <c r="K23" s="705"/>
      <c r="L23" s="706"/>
      <c r="M23" s="36" t="s">
        <v>426</v>
      </c>
      <c r="N23" s="38"/>
      <c r="O23" s="38"/>
      <c r="P23" s="179"/>
      <c r="Q23" s="179"/>
      <c r="R23" s="179"/>
      <c r="S23" s="160"/>
      <c r="T23" s="161" t="s">
        <v>552</v>
      </c>
      <c r="U23" s="160" t="s">
        <v>553</v>
      </c>
      <c r="V23" s="160" t="s">
        <v>554</v>
      </c>
      <c r="W23" s="160" t="s">
        <v>555</v>
      </c>
      <c r="X23" s="160" t="s">
        <v>553</v>
      </c>
      <c r="Y23" s="160" t="s">
        <v>554</v>
      </c>
      <c r="Z23" s="175"/>
      <c r="AA23" s="160">
        <v>1</v>
      </c>
      <c r="AB23" s="160">
        <v>2</v>
      </c>
    </row>
    <row r="24" ht="20.1" customHeight="1">
      <c r="A24" s="39">
        <v>1</v>
      </c>
      <c r="B24" s="707" t="s">
        <v>556</v>
      </c>
      <c r="C24" s="707"/>
      <c r="D24" s="707"/>
      <c r="E24" s="707"/>
      <c r="F24" s="40">
        <f>L11</f>
        <v>3</v>
      </c>
      <c r="G24" s="41"/>
      <c r="H24" s="39">
        <v>16</v>
      </c>
      <c r="I24" s="707" t="s">
        <v>18</v>
      </c>
      <c r="J24" s="707"/>
      <c r="K24" s="707"/>
      <c r="L24" s="707"/>
      <c r="M24" s="40">
        <f>IF(K7&lt;=65,1,2)</f>
        <v>1</v>
      </c>
      <c r="N24" s="38"/>
      <c r="O24" s="38"/>
      <c r="P24" s="159"/>
      <c r="Q24" s="159"/>
      <c r="R24" s="159"/>
      <c r="T24" s="143" t="str">
        <f ref="T24:T38" t="shared" si="8">B24</f>
        <v>بالتة تثبيت البروفيل في الحائط</v>
      </c>
      <c r="U24" s="158"/>
      <c r="V24" s="158">
        <v>130</v>
      </c>
      <c r="W24" s="154" t="str">
        <f ref="W24:W38" t="shared" si="9">I24</f>
        <v>ماتور </v>
      </c>
      <c r="X24" s="158"/>
      <c r="Y24" s="158">
        <f>Sheet2!B33</f>
        <v>5000</v>
      </c>
      <c r="Z24" s="166"/>
      <c r="AA24" s="154">
        <f>V24*F24</f>
        <v>390</v>
      </c>
      <c r="AB24" s="154">
        <f>Y24*M24</f>
        <v>5000</v>
      </c>
    </row>
    <row r="25" ht="20.1" customHeight="1">
      <c r="A25" s="42">
        <v>2</v>
      </c>
      <c r="B25" s="708" t="s">
        <v>557</v>
      </c>
      <c r="C25" s="708"/>
      <c r="D25" s="708"/>
      <c r="E25" s="708"/>
      <c r="F25" s="43">
        <f>L11</f>
        <v>3</v>
      </c>
      <c r="G25" s="41"/>
      <c r="H25" s="42">
        <v>17</v>
      </c>
      <c r="I25" s="708" t="s">
        <v>260</v>
      </c>
      <c r="J25" s="708"/>
      <c r="K25" s="708"/>
      <c r="L25" s="708"/>
      <c r="M25" s="43">
        <f>IF(M34=1,0,1)</f>
        <v>1</v>
      </c>
      <c r="N25" s="38"/>
      <c r="O25" s="38"/>
      <c r="P25" s="159"/>
      <c r="Q25" s="159"/>
      <c r="R25" s="159"/>
      <c r="T25" s="143" t="str">
        <f t="shared" si="8"/>
        <v>لسان مشرشر مع المسمار والصمولة</v>
      </c>
      <c r="U25" s="158"/>
      <c r="V25" s="158">
        <v>22</v>
      </c>
      <c r="W25" s="154" t="str">
        <f t="shared" si="9"/>
        <v>ريموت كنترول </v>
      </c>
      <c r="X25" s="158"/>
      <c r="Y25" s="158">
        <f>Sheet2!B34</f>
        <v>1000</v>
      </c>
      <c r="Z25" s="166"/>
      <c r="AA25" s="154">
        <f ref="AA25:AA38" t="shared" si="10">V25*F25</f>
        <v>66</v>
      </c>
      <c r="AB25" s="154">
        <f ref="AB25:AB38" t="shared" si="11">Y25*M25</f>
        <v>1000</v>
      </c>
    </row>
    <row r="26" ht="20.1" customHeight="1">
      <c r="A26" s="42">
        <v>3</v>
      </c>
      <c r="B26" s="708" t="s">
        <v>558</v>
      </c>
      <c r="C26" s="708"/>
      <c r="D26" s="708"/>
      <c r="E26" s="708"/>
      <c r="F26" s="43">
        <f>M24</f>
        <v>1</v>
      </c>
      <c r="G26" s="41"/>
      <c r="H26" s="42">
        <v>18</v>
      </c>
      <c r="I26" s="708" t="s">
        <v>559</v>
      </c>
      <c r="J26" s="708"/>
      <c r="K26" s="708"/>
      <c r="L26" s="708"/>
      <c r="M26" s="43">
        <f>(F24*2)-M27</f>
        <v>5</v>
      </c>
      <c r="N26" s="38"/>
      <c r="O26" s="38"/>
      <c r="P26" s="159"/>
      <c r="Q26" s="159"/>
      <c r="R26" s="159"/>
      <c r="T26" s="143" t="str">
        <f t="shared" si="8"/>
        <v>غطاء ماتور بلاستيك مع 2 صامولة 8 م</v>
      </c>
      <c r="U26" s="158"/>
      <c r="V26" s="158">
        <v>11</v>
      </c>
      <c r="W26" s="154" t="str">
        <f t="shared" si="9"/>
        <v>بالتة جانبية خلفية مفتوحة (واحدة)</v>
      </c>
      <c r="X26" s="158"/>
      <c r="Y26" s="158">
        <v>53</v>
      </c>
      <c r="Z26" s="166"/>
      <c r="AA26" s="154">
        <f t="shared" si="10"/>
        <v>11</v>
      </c>
      <c r="AB26" s="154">
        <f t="shared" si="11"/>
        <v>265</v>
      </c>
    </row>
    <row r="27" ht="20.1" customHeight="1">
      <c r="A27" s="42">
        <v>4</v>
      </c>
      <c r="B27" s="719" t="s">
        <v>560</v>
      </c>
      <c r="C27" s="720"/>
      <c r="D27" s="720"/>
      <c r="E27" s="721"/>
      <c r="F27" s="43">
        <v>4</v>
      </c>
      <c r="G27" s="41"/>
      <c r="H27" s="42">
        <v>19</v>
      </c>
      <c r="I27" s="708" t="s">
        <v>561</v>
      </c>
      <c r="J27" s="708"/>
      <c r="K27" s="708"/>
      <c r="L27" s="708"/>
      <c r="M27" s="43">
        <f>IF(M24=1,1,0)</f>
        <v>1</v>
      </c>
      <c r="N27" s="38"/>
      <c r="O27" s="38"/>
      <c r="P27" s="159"/>
      <c r="Q27" s="159"/>
      <c r="R27" s="159"/>
      <c r="T27" s="143" t="str">
        <f t="shared" si="8"/>
        <v>غطاء جانبي مداد كبير  بلاستيك (واحدة)</v>
      </c>
      <c r="U27" s="158"/>
      <c r="V27" s="158">
        <v>3.5</v>
      </c>
      <c r="W27" s="154" t="str">
        <f t="shared" si="9"/>
        <v>بالتة جانبية خلفية مغلقة (واحدة)</v>
      </c>
      <c r="X27" s="158"/>
      <c r="Y27" s="158">
        <v>82</v>
      </c>
      <c r="Z27" s="166"/>
      <c r="AA27" s="154">
        <f t="shared" si="10"/>
        <v>14</v>
      </c>
      <c r="AB27" s="154">
        <f t="shared" si="11"/>
        <v>82</v>
      </c>
    </row>
    <row r="28" ht="20.1" customHeight="1">
      <c r="A28" s="42">
        <v>5</v>
      </c>
      <c r="B28" s="719" t="s">
        <v>562</v>
      </c>
      <c r="C28" s="720"/>
      <c r="D28" s="720"/>
      <c r="E28" s="721"/>
      <c r="F28" s="43">
        <f>L14</f>
        <v>10</v>
      </c>
      <c r="G28" s="41"/>
      <c r="H28" s="42">
        <v>20</v>
      </c>
      <c r="I28" s="708" t="s">
        <v>563</v>
      </c>
      <c r="J28" s="708"/>
      <c r="K28" s="708"/>
      <c r="L28" s="708"/>
      <c r="M28" s="43">
        <f>IF(I11&gt;700,G11,0)</f>
        <v>0</v>
      </c>
      <c r="N28" s="38"/>
      <c r="O28" s="38"/>
      <c r="P28" s="159"/>
      <c r="Q28" s="159"/>
      <c r="R28" s="159"/>
      <c r="T28" s="143" t="str">
        <f t="shared" si="8"/>
        <v>غطاء جانبي مداد صغير   بلاستيك (زوج)</v>
      </c>
      <c r="U28" s="158"/>
      <c r="V28" s="158">
        <v>3</v>
      </c>
      <c r="W28" s="154" t="str">
        <f t="shared" si="9"/>
        <v>بالتة تجميع البروفيل (زوج )</v>
      </c>
      <c r="X28" s="158"/>
      <c r="Y28" s="158">
        <v>440</v>
      </c>
      <c r="Z28" s="166"/>
      <c r="AA28" s="154">
        <f t="shared" si="10"/>
        <v>30</v>
      </c>
      <c r="AB28" s="154">
        <f t="shared" si="11"/>
        <v>0</v>
      </c>
    </row>
    <row r="29" ht="20.1" customHeight="1">
      <c r="A29" s="42">
        <v>6</v>
      </c>
      <c r="B29" s="719" t="s">
        <v>564</v>
      </c>
      <c r="C29" s="720"/>
      <c r="D29" s="720"/>
      <c r="E29" s="721"/>
      <c r="F29" s="43">
        <f>L11*2</f>
        <v>6</v>
      </c>
      <c r="G29" s="41"/>
      <c r="H29" s="42">
        <v>21</v>
      </c>
      <c r="I29" s="708" t="s">
        <v>261</v>
      </c>
      <c r="J29" s="708"/>
      <c r="K29" s="708"/>
      <c r="L29" s="708"/>
      <c r="M29" s="44">
        <f>F24</f>
        <v>3</v>
      </c>
      <c r="N29" s="38"/>
      <c r="O29" s="38"/>
      <c r="P29" s="159"/>
      <c r="Q29" s="159"/>
      <c r="R29" s="159"/>
      <c r="T29" s="143" t="str">
        <f t="shared" si="8"/>
        <v>طبة بلاستيك مدور للمداد الكبير</v>
      </c>
      <c r="U29" s="158"/>
      <c r="V29" s="158">
        <v>2</v>
      </c>
      <c r="W29" s="154" t="str">
        <f t="shared" si="9"/>
        <v>طقم اكسسوار امامي بالغطاء الالومنيوم</v>
      </c>
      <c r="X29" s="158"/>
      <c r="Y29" s="158">
        <f>Sheet2!B35</f>
        <v>250</v>
      </c>
      <c r="Z29" s="166"/>
      <c r="AA29" s="154">
        <f t="shared" si="10"/>
        <v>12</v>
      </c>
      <c r="AB29" s="154">
        <f t="shared" si="11"/>
        <v>750</v>
      </c>
    </row>
    <row r="30" ht="20.1" customHeight="1">
      <c r="A30" s="42">
        <v>7</v>
      </c>
      <c r="B30" s="719" t="s">
        <v>565</v>
      </c>
      <c r="C30" s="720"/>
      <c r="D30" s="720"/>
      <c r="E30" s="721"/>
      <c r="F30" s="43">
        <f>L14*L11</f>
        <v>30</v>
      </c>
      <c r="G30" s="41"/>
      <c r="H30" s="42">
        <v>22</v>
      </c>
      <c r="I30" s="708" t="s">
        <v>262</v>
      </c>
      <c r="J30" s="708"/>
      <c r="K30" s="708"/>
      <c r="L30" s="708"/>
      <c r="M30" s="44">
        <f>F24</f>
        <v>3</v>
      </c>
      <c r="N30" s="38"/>
      <c r="O30" s="38"/>
      <c r="P30" s="159"/>
      <c r="Q30" s="159"/>
      <c r="R30" s="159"/>
      <c r="T30" s="143" t="str">
        <f t="shared" si="8"/>
        <v>طبة بلاستيك مدور للمداد الصغير</v>
      </c>
      <c r="U30" s="158"/>
      <c r="V30" s="158">
        <v>2</v>
      </c>
      <c r="W30" s="154" t="str">
        <f t="shared" si="9"/>
        <v>طقم اكسسوار خلفي</v>
      </c>
      <c r="X30" s="158">
        <v>0</v>
      </c>
      <c r="Y30" s="158">
        <f>Sheet2!B36</f>
        <v>250</v>
      </c>
      <c r="Z30" s="166"/>
      <c r="AA30" s="154">
        <f t="shared" si="10"/>
        <v>60</v>
      </c>
      <c r="AB30" s="154">
        <f t="shared" si="11"/>
        <v>750</v>
      </c>
    </row>
    <row r="31" ht="20.1" customHeight="1">
      <c r="A31" s="42">
        <v>8</v>
      </c>
      <c r="B31" s="719" t="s">
        <v>566</v>
      </c>
      <c r="C31" s="720"/>
      <c r="D31" s="720"/>
      <c r="E31" s="721"/>
      <c r="F31" s="43">
        <f>(L14+N14)*2</f>
        <v>24</v>
      </c>
      <c r="G31" s="41"/>
      <c r="H31" s="42">
        <v>23</v>
      </c>
      <c r="I31" s="708" t="s">
        <v>567</v>
      </c>
      <c r="J31" s="708"/>
      <c r="K31" s="708"/>
      <c r="L31" s="708"/>
      <c r="M31" s="43">
        <f>F30</f>
        <v>30</v>
      </c>
      <c r="N31" s="38"/>
      <c r="O31" s="38"/>
      <c r="P31" s="159"/>
      <c r="Q31" s="159"/>
      <c r="R31" s="159"/>
      <c r="T31" s="143" t="str">
        <f t="shared" si="8"/>
        <v> وردة بلاستيك شد البى فى سي </v>
      </c>
      <c r="U31" s="158"/>
      <c r="V31" s="158">
        <v>2</v>
      </c>
      <c r="W31" s="154" t="str">
        <f t="shared" si="9"/>
        <v>عربية صغيرة بالصامولة + جلبة بلاستيك</v>
      </c>
      <c r="X31" s="158"/>
      <c r="Y31" s="158">
        <v>80</v>
      </c>
      <c r="Z31" s="166"/>
      <c r="AA31" s="154">
        <f t="shared" si="10"/>
        <v>48</v>
      </c>
      <c r="AB31" s="154">
        <f t="shared" si="11"/>
        <v>2400</v>
      </c>
    </row>
    <row r="32" ht="20.1" customHeight="1">
      <c r="A32" s="42">
        <v>9</v>
      </c>
      <c r="B32" s="719" t="s">
        <v>568</v>
      </c>
      <c r="C32" s="720"/>
      <c r="D32" s="720"/>
      <c r="E32" s="721"/>
      <c r="F32" s="43">
        <f>(L14+N14)*2</f>
        <v>24</v>
      </c>
      <c r="G32" s="41"/>
      <c r="H32" s="42">
        <v>24</v>
      </c>
      <c r="I32" s="708" t="s">
        <v>569</v>
      </c>
      <c r="J32" s="708"/>
      <c r="K32" s="708"/>
      <c r="L32" s="708"/>
      <c r="M32" s="44">
        <f>F24</f>
        <v>3</v>
      </c>
      <c r="N32" s="38"/>
      <c r="O32" s="38"/>
      <c r="P32" s="159"/>
      <c r="Q32" s="159"/>
      <c r="R32" s="159"/>
      <c r="T32" s="143" t="str">
        <f t="shared" si="8"/>
        <v>مسمار سن صاج لشد البلاستيك </v>
      </c>
      <c r="U32" s="158"/>
      <c r="V32" s="158">
        <v>5</v>
      </c>
      <c r="W32" s="154" t="str">
        <f t="shared" si="9"/>
        <v>عربية كبيرة بالسان و 5مسامير +جلبة بلاستيك</v>
      </c>
      <c r="X32" s="158">
        <v>0</v>
      </c>
      <c r="Y32" s="158">
        <v>90</v>
      </c>
      <c r="Z32" s="166"/>
      <c r="AA32" s="154">
        <f t="shared" si="10"/>
        <v>120</v>
      </c>
      <c r="AB32" s="154">
        <f t="shared" si="11"/>
        <v>270</v>
      </c>
    </row>
    <row r="33" ht="20.1" customHeight="1" s="12" customFormat="1">
      <c r="A33" s="42">
        <v>10</v>
      </c>
      <c r="B33" s="719" t="s">
        <v>570</v>
      </c>
      <c r="C33" s="720"/>
      <c r="D33" s="720"/>
      <c r="E33" s="721"/>
      <c r="F33" s="43">
        <f>L11*3</f>
        <v>9</v>
      </c>
      <c r="G33" s="41"/>
      <c r="H33" s="42">
        <v>25</v>
      </c>
      <c r="I33" s="708" t="s">
        <v>571</v>
      </c>
      <c r="J33" s="708"/>
      <c r="K33" s="708"/>
      <c r="L33" s="708"/>
      <c r="M33" s="43">
        <f>F24</f>
        <v>3</v>
      </c>
      <c r="N33" s="38"/>
      <c r="O33" s="38"/>
      <c r="P33" s="159"/>
      <c r="Q33" s="159"/>
      <c r="R33" s="159"/>
      <c r="S33" s="154"/>
      <c r="T33" s="143" t="str">
        <f t="shared" si="8"/>
        <v>مسمار   مجلفن 12M × 80 </v>
      </c>
      <c r="U33" s="158"/>
      <c r="V33" s="158">
        <v>3.5</v>
      </c>
      <c r="W33" s="154" t="str">
        <f t="shared" si="9"/>
        <v>بالتات امامية باللوجو (زوج)</v>
      </c>
      <c r="X33" s="158"/>
      <c r="Y33" s="158">
        <v>165</v>
      </c>
      <c r="Z33" s="166"/>
      <c r="AA33" s="154">
        <f t="shared" si="10"/>
        <v>31.5</v>
      </c>
      <c r="AB33" s="154">
        <f t="shared" si="11"/>
        <v>495</v>
      </c>
    </row>
    <row r="34" ht="20.1" customHeight="1" s="12" customFormat="1">
      <c r="A34" s="42">
        <v>11</v>
      </c>
      <c r="B34" s="719" t="s">
        <v>572</v>
      </c>
      <c r="C34" s="720"/>
      <c r="D34" s="720"/>
      <c r="E34" s="721"/>
      <c r="F34" s="43">
        <f>L11*3</f>
        <v>9</v>
      </c>
      <c r="G34" s="41"/>
      <c r="H34" s="42">
        <v>26</v>
      </c>
      <c r="I34" s="708" t="s">
        <v>263</v>
      </c>
      <c r="J34" s="708"/>
      <c r="K34" s="708"/>
      <c r="L34" s="708"/>
      <c r="M34" s="43">
        <f>IF(M24=2,1,0)</f>
        <v>0</v>
      </c>
      <c r="N34" s="38"/>
      <c r="O34" s="38"/>
      <c r="P34" s="159"/>
      <c r="Q34" s="159"/>
      <c r="R34" s="159"/>
      <c r="S34" s="154"/>
      <c r="T34" s="143" t="str">
        <f t="shared" si="8"/>
        <v>صامولة مجلفنة 12M</v>
      </c>
      <c r="U34" s="158"/>
      <c r="V34" s="158">
        <v>3.5</v>
      </c>
      <c r="W34" s="154" t="str">
        <f t="shared" si="9"/>
        <v>جهاز كونترول للمواتير</v>
      </c>
      <c r="X34" s="158"/>
      <c r="Y34" s="158">
        <f>Sheet2!B37</f>
        <v>5000</v>
      </c>
      <c r="Z34" s="166"/>
      <c r="AA34" s="154">
        <f t="shared" si="10"/>
        <v>31.5</v>
      </c>
      <c r="AB34" s="154">
        <f t="shared" si="11"/>
        <v>0</v>
      </c>
    </row>
    <row r="35" ht="20.1" customHeight="1" s="12" customFormat="1">
      <c r="A35" s="42">
        <v>12</v>
      </c>
      <c r="B35" s="719" t="s">
        <v>573</v>
      </c>
      <c r="C35" s="720"/>
      <c r="D35" s="720"/>
      <c r="E35" s="721"/>
      <c r="F35" s="43">
        <f>IF(L11&gt;2,(L11-2)*2,"0")</f>
        <v>2</v>
      </c>
      <c r="G35" s="45"/>
      <c r="H35" s="42">
        <v>27</v>
      </c>
      <c r="I35" s="708" t="s">
        <v>264</v>
      </c>
      <c r="J35" s="708"/>
      <c r="K35" s="708"/>
      <c r="L35" s="708"/>
      <c r="M35" s="43">
        <f>M34</f>
        <v>0</v>
      </c>
      <c r="N35" s="38"/>
      <c r="O35" s="38"/>
      <c r="P35" s="159"/>
      <c r="Q35" s="159"/>
      <c r="R35" s="159"/>
      <c r="S35" s="159">
        <v>0.385</v>
      </c>
      <c r="T35" s="143" t="str">
        <f t="shared" si="8"/>
        <v>وصلة مداد كبير </v>
      </c>
      <c r="U35" s="158"/>
      <c r="V35" s="158">
        <v>45</v>
      </c>
      <c r="W35" s="154" t="str">
        <f t="shared" si="9"/>
        <v>مفتاح تشغيل</v>
      </c>
      <c r="X35" s="158"/>
      <c r="Y35" s="158">
        <f>Sheet2!B38</f>
        <v>250</v>
      </c>
      <c r="Z35" s="166"/>
      <c r="AA35" s="154">
        <f t="shared" si="10"/>
        <v>90</v>
      </c>
      <c r="AB35" s="154">
        <f t="shared" si="11"/>
        <v>0</v>
      </c>
    </row>
    <row r="36" ht="20.1" customHeight="1" s="12" customFormat="1">
      <c r="A36" s="42">
        <v>13</v>
      </c>
      <c r="B36" s="719" t="s">
        <v>574</v>
      </c>
      <c r="C36" s="720"/>
      <c r="D36" s="720"/>
      <c r="E36" s="721"/>
      <c r="F36" s="43">
        <f>IF(L11&gt;2,(L11-2)*L14,"0")</f>
        <v>10</v>
      </c>
      <c r="G36" s="45"/>
      <c r="H36" s="42">
        <v>28</v>
      </c>
      <c r="I36" s="708" t="s">
        <v>575</v>
      </c>
      <c r="J36" s="708"/>
      <c r="K36" s="708"/>
      <c r="L36" s="708"/>
      <c r="M36" s="43">
        <f>G20</f>
        <v>2</v>
      </c>
      <c r="N36" s="38"/>
      <c r="O36" s="38"/>
      <c r="P36" s="159"/>
      <c r="Q36" s="159"/>
      <c r="R36" s="159"/>
      <c r="S36" s="159">
        <v>0.2</v>
      </c>
      <c r="T36" s="143" t="str">
        <f t="shared" si="8"/>
        <v>وصلة مداد صغير </v>
      </c>
      <c r="U36" s="158"/>
      <c r="V36" s="158">
        <v>30</v>
      </c>
      <c r="W36" s="154" t="str">
        <f>I36</f>
        <v>زاوية تثبيت المرايه الخلفية زوج </v>
      </c>
      <c r="X36" s="158"/>
      <c r="Y36" s="158">
        <v>100</v>
      </c>
      <c r="Z36" s="166"/>
      <c r="AA36" s="154">
        <f t="shared" si="10"/>
        <v>300</v>
      </c>
      <c r="AB36" s="154">
        <f t="shared" si="11"/>
        <v>200</v>
      </c>
    </row>
    <row r="37" ht="20.1" customHeight="1" s="12" customFormat="1">
      <c r="A37" s="42">
        <v>14</v>
      </c>
      <c r="B37" s="719" t="s">
        <v>576</v>
      </c>
      <c r="C37" s="720"/>
      <c r="D37" s="720"/>
      <c r="E37" s="721"/>
      <c r="F37" s="43">
        <f>M24</f>
        <v>1</v>
      </c>
      <c r="G37" s="45"/>
      <c r="H37" s="42">
        <v>29</v>
      </c>
      <c r="I37" s="708" t="s">
        <v>577</v>
      </c>
      <c r="J37" s="708"/>
      <c r="K37" s="708"/>
      <c r="L37" s="708"/>
      <c r="M37" s="43">
        <f>F24</f>
        <v>3</v>
      </c>
      <c r="N37" s="38"/>
      <c r="O37" s="38"/>
      <c r="P37" s="159"/>
      <c r="Q37" s="159"/>
      <c r="R37" s="159"/>
      <c r="S37" s="154"/>
      <c r="T37" s="143" t="str">
        <f t="shared" si="8"/>
        <v>ويل و كراون و بسكوتة ستانلس</v>
      </c>
      <c r="U37" s="158"/>
      <c r="V37" s="158">
        <v>52</v>
      </c>
      <c r="W37" s="154" t="str">
        <f t="shared" si="9"/>
        <v>حرف U اتثبيت المجري من الامام</v>
      </c>
      <c r="X37" s="158"/>
      <c r="Y37" s="158">
        <v>45</v>
      </c>
      <c r="Z37" s="166"/>
      <c r="AA37" s="154">
        <f t="shared" si="10"/>
        <v>52</v>
      </c>
      <c r="AB37" s="154">
        <f t="shared" si="11"/>
        <v>135</v>
      </c>
    </row>
    <row r="38" ht="18.6" customHeight="1" s="12" customFormat="1">
      <c r="A38" s="42">
        <v>15</v>
      </c>
      <c r="B38" s="708" t="s">
        <v>265</v>
      </c>
      <c r="C38" s="708"/>
      <c r="D38" s="708"/>
      <c r="E38" s="708"/>
      <c r="F38" s="43">
        <f>تسجيل1!C21</f>
        <v>20</v>
      </c>
      <c r="G38" s="45"/>
      <c r="H38" s="42">
        <v>30</v>
      </c>
      <c r="I38" s="708" t="s">
        <v>578</v>
      </c>
      <c r="J38" s="708"/>
      <c r="K38" s="708"/>
      <c r="L38" s="708"/>
      <c r="M38" s="43">
        <f>(I11*4)/100</f>
        <v>26.6</v>
      </c>
      <c r="N38" s="38"/>
      <c r="O38" s="38"/>
      <c r="P38" s="159"/>
      <c r="Q38" s="159"/>
      <c r="R38" s="159"/>
      <c r="S38" s="154"/>
      <c r="T38" s="143" t="str">
        <f t="shared" si="8"/>
        <v>لمبات ليد بالغطاء و الدويل و وش ستانلس</v>
      </c>
      <c r="U38" s="158"/>
      <c r="V38" s="158">
        <f>Sheet2!B39</f>
        <v>120</v>
      </c>
      <c r="W38" s="154" t="str">
        <f t="shared" si="9"/>
        <v>مانع المياه للبروفيل</v>
      </c>
      <c r="X38" s="158"/>
      <c r="Y38" s="158">
        <v>3.5</v>
      </c>
      <c r="Z38" s="166"/>
      <c r="AA38" s="154">
        <f t="shared" si="10"/>
        <v>2400</v>
      </c>
      <c r="AB38" s="154">
        <f t="shared" si="11"/>
        <v>93.100000000000009</v>
      </c>
    </row>
    <row r="39" ht="15.6" customHeight="1" s="12" customFormat="1">
      <c r="A39" s="46"/>
      <c r="B39" s="3"/>
      <c r="C39" s="3"/>
      <c r="D39" s="3"/>
      <c r="E39" s="3"/>
      <c r="F39" s="47"/>
      <c r="G39" s="37"/>
      <c r="H39" s="46"/>
      <c r="I39" s="48"/>
      <c r="J39" s="48"/>
      <c r="K39" s="48"/>
      <c r="L39" s="48"/>
      <c r="M39" s="47"/>
      <c r="N39" s="38"/>
      <c r="O39" s="38"/>
      <c r="P39" s="159"/>
      <c r="Q39" s="159"/>
      <c r="R39" s="159"/>
      <c r="S39" s="154"/>
      <c r="T39" s="167"/>
      <c r="U39" s="168"/>
      <c r="V39" s="168"/>
      <c r="W39" s="168"/>
      <c r="X39" s="168"/>
      <c r="Y39" s="168"/>
      <c r="Z39" s="176"/>
      <c r="AA39" s="738">
        <f>SUM(AA24:AB38)</f>
        <v>15096.1</v>
      </c>
      <c r="AB39" s="738"/>
    </row>
    <row r="40" ht="20.45" customHeight="1" s="12" customFormat="1">
      <c r="A40" s="739" t="s">
        <v>579</v>
      </c>
      <c r="B40" s="740"/>
      <c r="C40" s="740"/>
      <c r="D40" s="49"/>
      <c r="E40" s="49"/>
      <c r="F40" s="50"/>
      <c r="G40" s="51"/>
      <c r="H40" s="52"/>
      <c r="I40" s="53"/>
      <c r="J40" s="53"/>
      <c r="K40" s="53"/>
      <c r="L40" s="49"/>
      <c r="M40" s="54"/>
      <c r="N40" s="55"/>
      <c r="O40" s="56"/>
      <c r="P40" s="150"/>
      <c r="Q40" s="150"/>
      <c r="R40" s="150"/>
      <c r="S40" s="166"/>
      <c r="T40" s="180"/>
      <c r="U40" s="181"/>
      <c r="V40" s="181"/>
      <c r="W40" s="181"/>
      <c r="X40" s="181"/>
      <c r="Y40" s="181"/>
      <c r="Z40" s="182"/>
      <c r="AA40" s="738"/>
      <c r="AB40" s="738"/>
    </row>
    <row r="41" ht="18.75" customHeight="1" s="12" customFormat="1">
      <c r="A41" s="741" t="str">
        <f>IF(Format!I5=1,"-------",IF(Format!I5=2,Format!I3,Format!I4))</f>
        <v>صونفي </v>
      </c>
      <c r="B41" s="742"/>
      <c r="C41" s="743"/>
      <c r="D41" s="48"/>
      <c r="E41" s="48"/>
      <c r="F41" s="47"/>
      <c r="G41" s="37"/>
      <c r="H41" s="46"/>
      <c r="I41" s="48"/>
      <c r="J41" s="48"/>
      <c r="K41" s="48"/>
      <c r="L41" s="744" t="s">
        <v>4</v>
      </c>
      <c r="M41" s="745"/>
      <c r="N41" s="746"/>
      <c r="O41" s="57"/>
      <c r="P41" s="150"/>
      <c r="Q41" s="150"/>
      <c r="R41" s="150"/>
      <c r="S41" s="166"/>
      <c r="T41" s="183"/>
      <c r="U41" s="154"/>
      <c r="V41" s="154"/>
      <c r="W41" s="154"/>
      <c r="X41" s="154"/>
      <c r="Y41" s="154"/>
      <c r="Z41" s="166"/>
      <c r="AA41" s="747">
        <f>AA39+X22+U8</f>
        <v>62697.736665885837</v>
      </c>
      <c r="AB41" s="747"/>
    </row>
    <row r="42" ht="13.9" customHeight="1" s="12" customFormat="1">
      <c r="A42" s="741"/>
      <c r="B42" s="742"/>
      <c r="C42" s="743"/>
      <c r="D42" s="3"/>
      <c r="E42" s="3"/>
      <c r="F42" s="3"/>
      <c r="G42" s="3"/>
      <c r="H42" s="3"/>
      <c r="I42" s="3"/>
      <c r="J42" s="3"/>
      <c r="K42" s="3"/>
      <c r="L42" s="748" t="str">
        <f>IF(Format!B5=1,Format!B2,IF(Format!B5=2,Format!B3,تسجيل1!F4))</f>
        <v>بيج  Ral 1013</v>
      </c>
      <c r="M42" s="749"/>
      <c r="N42" s="750"/>
      <c r="O42" s="33"/>
      <c r="P42" s="178"/>
      <c r="Q42" s="178"/>
      <c r="R42" s="178"/>
      <c r="S42" s="166"/>
      <c r="T42" s="183"/>
      <c r="U42" s="154"/>
      <c r="V42" s="154"/>
      <c r="W42" s="154"/>
      <c r="X42" s="154"/>
      <c r="Y42" s="154"/>
      <c r="Z42" s="166"/>
      <c r="AA42" s="154"/>
      <c r="AB42" s="154"/>
    </row>
    <row r="43" ht="15" customHeight="1" s="12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3"/>
      <c r="E43" s="3"/>
      <c r="F43" s="3"/>
      <c r="G43" s="3"/>
      <c r="H43" s="3"/>
      <c r="I43" s="3"/>
      <c r="J43" s="3"/>
      <c r="K43" s="3"/>
      <c r="L43" s="725" t="s">
        <v>6</v>
      </c>
      <c r="M43" s="726"/>
      <c r="N43" s="727"/>
      <c r="O43" s="58"/>
      <c r="P43" s="151"/>
      <c r="Q43" s="151"/>
      <c r="R43" s="151"/>
      <c r="S43" s="166"/>
      <c r="T43" s="183"/>
      <c r="U43" s="184"/>
      <c r="V43" s="143"/>
      <c r="W43" s="154"/>
      <c r="X43" s="154"/>
      <c r="Y43" s="154"/>
      <c r="Z43" s="166"/>
      <c r="AA43" s="154"/>
      <c r="AB43" s="154"/>
    </row>
    <row r="44" ht="18.6" customHeight="1" s="12" customFormat="1">
      <c r="A44" s="59"/>
      <c r="B44" s="60"/>
      <c r="C44" s="61"/>
      <c r="D44" s="62"/>
      <c r="E44" s="62"/>
      <c r="F44" s="62"/>
      <c r="G44" s="62"/>
      <c r="H44" s="62"/>
      <c r="I44" s="62"/>
      <c r="J44" s="62"/>
      <c r="K44" s="62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63"/>
      <c r="P44" s="151"/>
      <c r="Q44" s="151"/>
      <c r="R44" s="151"/>
      <c r="S44" s="166"/>
      <c r="T44" s="183"/>
      <c r="U44" s="154"/>
      <c r="V44" s="154"/>
      <c r="W44" s="154"/>
      <c r="X44" s="154"/>
      <c r="Y44" s="154"/>
      <c r="Z44" s="166"/>
      <c r="AA44" s="154"/>
      <c r="AB44" s="154"/>
    </row>
    <row r="45">
      <c r="S45" s="166"/>
      <c r="T45" s="183"/>
      <c r="Z45" s="166"/>
      <c r="AA45" s="154"/>
      <c r="AB45" s="154"/>
    </row>
    <row r="46" ht="19.5">
      <c r="S46" s="166"/>
      <c r="T46" s="185"/>
      <c r="U46" s="186"/>
      <c r="V46" s="186"/>
      <c r="W46" s="186"/>
      <c r="X46" s="186"/>
      <c r="Y46" s="186"/>
      <c r="Z46" s="187"/>
      <c r="AA46" s="154"/>
      <c r="AB46" s="154"/>
    </row>
    <row r="47">
      <c r="T47" s="169"/>
      <c r="U47" s="170"/>
      <c r="V47" s="170"/>
      <c r="W47" s="170"/>
      <c r="X47" s="170"/>
      <c r="Y47" s="170"/>
      <c r="Z47" s="170"/>
    </row>
    <row r="48" s="12" customFormat="1">
      <c r="A48" s="6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65"/>
      <c r="O48" s="13"/>
      <c r="P48" s="154"/>
      <c r="Q48" s="154"/>
      <c r="R48" s="154"/>
      <c r="S48" s="154"/>
      <c r="T48" s="143"/>
      <c r="U48" s="154"/>
      <c r="V48" s="154"/>
      <c r="W48" s="154"/>
      <c r="X48" s="154"/>
      <c r="Y48" s="154"/>
      <c r="Z48" s="154"/>
      <c r="AA48" s="163"/>
      <c r="AB48" s="163"/>
    </row>
    <row r="49" s="12" customForma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O49" s="13"/>
      <c r="P49" s="154"/>
      <c r="Q49" s="154"/>
      <c r="R49" s="154"/>
      <c r="S49" s="154"/>
      <c r="T49" s="143"/>
      <c r="U49" s="154"/>
      <c r="V49" s="154"/>
      <c r="W49" s="154"/>
      <c r="X49" s="154"/>
      <c r="Y49" s="154"/>
      <c r="Z49" s="154"/>
      <c r="AA49" s="163"/>
      <c r="AB49" s="163"/>
    </row>
    <row r="50" s="12" customFormat="1">
      <c r="A50" s="6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70"/>
      <c r="O50" s="13"/>
      <c r="P50" s="154"/>
      <c r="Q50" s="154"/>
      <c r="R50" s="154"/>
      <c r="S50" s="154"/>
      <c r="T50" s="143"/>
      <c r="U50" s="154"/>
      <c r="V50" s="154"/>
      <c r="W50" s="154"/>
      <c r="X50" s="154"/>
      <c r="Y50" s="154"/>
      <c r="Z50" s="154"/>
      <c r="AA50" s="163"/>
      <c r="AB50" s="163"/>
    </row>
    <row r="51" s="12" customFormat="1">
      <c r="A51" s="6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70"/>
      <c r="O51" s="13"/>
      <c r="P51" s="154"/>
      <c r="Q51" s="154"/>
      <c r="R51" s="154"/>
      <c r="S51" s="154"/>
      <c r="T51" s="143"/>
      <c r="U51" s="154"/>
      <c r="V51" s="154"/>
      <c r="W51" s="154"/>
      <c r="X51" s="154"/>
      <c r="Y51" s="154"/>
      <c r="Z51" s="154"/>
      <c r="AA51" s="163"/>
      <c r="AB51" s="163"/>
    </row>
    <row r="52" s="12" customFormat="1">
      <c r="A52" s="6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70"/>
      <c r="O52" s="13"/>
      <c r="P52" s="154"/>
      <c r="Q52" s="154"/>
      <c r="R52" s="154"/>
      <c r="S52" s="154"/>
      <c r="T52" s="143"/>
      <c r="U52" s="154"/>
      <c r="V52" s="154"/>
      <c r="W52" s="154"/>
      <c r="X52" s="154"/>
      <c r="Y52" s="154"/>
      <c r="Z52" s="154"/>
      <c r="AA52" s="163"/>
      <c r="AB52" s="163"/>
    </row>
    <row r="53" s="12" customFormat="1">
      <c r="A53" s="6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70"/>
      <c r="O53" s="13"/>
      <c r="P53" s="154"/>
      <c r="Q53" s="154"/>
      <c r="R53" s="154"/>
      <c r="S53" s="154"/>
      <c r="T53" s="143"/>
      <c r="U53" s="154"/>
      <c r="V53" s="154"/>
      <c r="W53" s="154"/>
      <c r="X53" s="154"/>
      <c r="Y53" s="154"/>
      <c r="Z53" s="154"/>
      <c r="AA53" s="163"/>
      <c r="AB53" s="163"/>
    </row>
    <row r="54" s="12" customFormat="1">
      <c r="A54" s="6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0"/>
      <c r="O54" s="13"/>
      <c r="P54" s="154"/>
      <c r="Q54" s="154"/>
      <c r="R54" s="154"/>
      <c r="S54" s="154"/>
      <c r="T54" s="143"/>
      <c r="U54" s="154"/>
      <c r="V54" s="154"/>
      <c r="W54" s="154"/>
      <c r="X54" s="154"/>
      <c r="Y54" s="154"/>
      <c r="Z54" s="154"/>
      <c r="AA54" s="163"/>
      <c r="AB54" s="163"/>
    </row>
    <row r="55" s="12" customFormat="1">
      <c r="A55" s="6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70"/>
      <c r="O55" s="13"/>
      <c r="P55" s="154"/>
      <c r="Q55" s="154"/>
      <c r="R55" s="154"/>
      <c r="S55" s="154"/>
      <c r="T55" s="143"/>
      <c r="U55" s="154"/>
      <c r="V55" s="154"/>
      <c r="W55" s="154"/>
      <c r="X55" s="154"/>
      <c r="Y55" s="154"/>
      <c r="Z55" s="154"/>
      <c r="AA55" s="163"/>
      <c r="AB55" s="163"/>
    </row>
    <row r="56" s="12" customFormat="1">
      <c r="A56" s="6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0"/>
      <c r="O56" s="13"/>
      <c r="P56" s="154"/>
      <c r="Q56" s="154"/>
      <c r="R56" s="154"/>
      <c r="S56" s="154"/>
      <c r="T56" s="143"/>
      <c r="U56" s="154"/>
      <c r="V56" s="154"/>
      <c r="W56" s="154"/>
      <c r="X56" s="154"/>
      <c r="Y56" s="154"/>
      <c r="Z56" s="154"/>
      <c r="AA56" s="163"/>
      <c r="AB56" s="163"/>
    </row>
    <row r="57" s="12" customFormat="1">
      <c r="A57" s="6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0"/>
      <c r="O57" s="13"/>
      <c r="P57" s="154"/>
      <c r="Q57" s="154"/>
      <c r="R57" s="154"/>
      <c r="S57" s="154"/>
      <c r="T57" s="143"/>
      <c r="U57" s="154"/>
      <c r="V57" s="154"/>
      <c r="W57" s="154"/>
      <c r="X57" s="154"/>
      <c r="Y57" s="154"/>
      <c r="Z57" s="154"/>
      <c r="AA57" s="163"/>
      <c r="AB57" s="163"/>
    </row>
    <row r="58" s="12" customFormat="1">
      <c r="A58" s="6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0"/>
      <c r="O58" s="13"/>
      <c r="P58" s="154"/>
      <c r="Q58" s="154"/>
      <c r="R58" s="154"/>
      <c r="S58" s="154"/>
      <c r="T58" s="143"/>
      <c r="U58" s="154"/>
      <c r="V58" s="154"/>
      <c r="W58" s="154"/>
      <c r="X58" s="154"/>
      <c r="Y58" s="154"/>
      <c r="Z58" s="154"/>
      <c r="AA58" s="163"/>
      <c r="AB58" s="163"/>
    </row>
    <row r="59" s="12" customFormat="1">
      <c r="A59" s="6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70"/>
      <c r="O59" s="13"/>
      <c r="P59" s="154"/>
      <c r="Q59" s="154"/>
      <c r="R59" s="154"/>
      <c r="S59" s="154"/>
      <c r="T59" s="143"/>
      <c r="U59" s="154"/>
      <c r="V59" s="154"/>
      <c r="W59" s="154"/>
      <c r="X59" s="154"/>
      <c r="Y59" s="154"/>
      <c r="Z59" s="154"/>
      <c r="AA59" s="163"/>
      <c r="AB59" s="163"/>
    </row>
    <row r="60" s="12" customFormat="1">
      <c r="A60" s="6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0"/>
      <c r="O60" s="13"/>
      <c r="P60" s="154"/>
      <c r="Q60" s="154"/>
      <c r="R60" s="154"/>
      <c r="S60" s="154"/>
      <c r="T60" s="143"/>
      <c r="U60" s="154"/>
      <c r="V60" s="154"/>
      <c r="W60" s="154"/>
      <c r="X60" s="154"/>
      <c r="Y60" s="154"/>
      <c r="Z60" s="154"/>
      <c r="AA60" s="163"/>
      <c r="AB60" s="163"/>
    </row>
    <row r="61" s="12" customFormat="1">
      <c r="A61" s="6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70"/>
      <c r="O61" s="13"/>
      <c r="P61" s="154"/>
      <c r="Q61" s="154"/>
      <c r="R61" s="154"/>
      <c r="S61" s="154"/>
      <c r="T61" s="143"/>
      <c r="U61" s="154"/>
      <c r="V61" s="154"/>
      <c r="W61" s="154"/>
      <c r="X61" s="154"/>
      <c r="Y61" s="154"/>
      <c r="Z61" s="154"/>
      <c r="AA61" s="163"/>
      <c r="AB61" s="163"/>
    </row>
    <row r="62" s="12" customFormat="1">
      <c r="A62" s="7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72"/>
      <c r="O62" s="13"/>
      <c r="P62" s="154"/>
      <c r="Q62" s="154"/>
      <c r="R62" s="154"/>
      <c r="S62" s="154"/>
      <c r="T62" s="143"/>
      <c r="U62" s="154"/>
      <c r="V62" s="154"/>
      <c r="W62" s="154"/>
      <c r="X62" s="154"/>
      <c r="Y62" s="154"/>
      <c r="Z62" s="154"/>
      <c r="AA62" s="163"/>
      <c r="AB62" s="163"/>
    </row>
    <row r="64" s="12" customFormat="1">
      <c r="A64" s="64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65"/>
      <c r="O64" s="13"/>
      <c r="P64" s="154"/>
      <c r="Q64" s="154"/>
      <c r="R64" s="154"/>
      <c r="S64" s="154"/>
      <c r="T64" s="143"/>
      <c r="U64" s="154"/>
      <c r="V64" s="154"/>
      <c r="W64" s="154"/>
      <c r="X64" s="154"/>
      <c r="Y64" s="154"/>
      <c r="Z64" s="154"/>
      <c r="AA64" s="163"/>
      <c r="AB64" s="163"/>
    </row>
    <row r="65" s="12" customFormat="1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13"/>
      <c r="P65" s="154"/>
      <c r="Q65" s="154"/>
      <c r="R65" s="154"/>
      <c r="S65" s="154"/>
      <c r="T65" s="143"/>
      <c r="U65" s="154"/>
      <c r="V65" s="154"/>
      <c r="W65" s="154"/>
      <c r="X65" s="154"/>
      <c r="Y65" s="154"/>
      <c r="Z65" s="154"/>
      <c r="AA65" s="163"/>
      <c r="AB65" s="163"/>
    </row>
    <row r="66" s="12" customFormat="1">
      <c r="A66" s="6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70"/>
      <c r="O66" s="13"/>
      <c r="P66" s="154"/>
      <c r="Q66" s="154"/>
      <c r="R66" s="154"/>
      <c r="S66" s="154"/>
      <c r="T66" s="143"/>
      <c r="U66" s="154"/>
      <c r="V66" s="154"/>
      <c r="W66" s="154"/>
      <c r="X66" s="154"/>
      <c r="Y66" s="154"/>
      <c r="Z66" s="154"/>
      <c r="AA66" s="163"/>
      <c r="AB66" s="163"/>
    </row>
    <row r="67" s="12" customFormat="1">
      <c r="A67" s="6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70"/>
      <c r="O67" s="13"/>
      <c r="P67" s="154"/>
      <c r="Q67" s="154"/>
      <c r="R67" s="154"/>
      <c r="S67" s="154"/>
      <c r="T67" s="143"/>
      <c r="U67" s="154"/>
      <c r="V67" s="154"/>
      <c r="W67" s="154"/>
      <c r="X67" s="154"/>
      <c r="Y67" s="154"/>
      <c r="Z67" s="154"/>
      <c r="AA67" s="163"/>
      <c r="AB67" s="163"/>
    </row>
    <row r="68" s="12" customFormat="1">
      <c r="A68" s="6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70"/>
      <c r="O68" s="13"/>
      <c r="P68" s="154"/>
      <c r="Q68" s="154"/>
      <c r="R68" s="154"/>
      <c r="S68" s="154"/>
      <c r="T68" s="143"/>
      <c r="U68" s="154"/>
      <c r="V68" s="154"/>
      <c r="W68" s="154"/>
      <c r="X68" s="154"/>
      <c r="Y68" s="154"/>
      <c r="Z68" s="154"/>
      <c r="AA68" s="163"/>
      <c r="AB68" s="163"/>
    </row>
    <row r="69" s="12" customFormat="1">
      <c r="A69" s="6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70"/>
      <c r="O69" s="13"/>
      <c r="P69" s="154"/>
      <c r="Q69" s="154"/>
      <c r="R69" s="154"/>
      <c r="S69" s="154"/>
      <c r="T69" s="143"/>
      <c r="U69" s="154"/>
      <c r="V69" s="154"/>
      <c r="W69" s="154"/>
      <c r="X69" s="154"/>
      <c r="Y69" s="154"/>
      <c r="Z69" s="154"/>
      <c r="AA69" s="163"/>
      <c r="AB69" s="163"/>
    </row>
    <row r="70" s="12" customFormat="1">
      <c r="A70" s="6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70"/>
      <c r="O70" s="13"/>
      <c r="P70" s="154"/>
      <c r="Q70" s="154"/>
      <c r="R70" s="154"/>
      <c r="S70" s="154"/>
      <c r="T70" s="143"/>
      <c r="U70" s="154"/>
      <c r="V70" s="154"/>
      <c r="W70" s="154"/>
      <c r="X70" s="154"/>
      <c r="Y70" s="154"/>
      <c r="Z70" s="154"/>
      <c r="AA70" s="163"/>
      <c r="AB70" s="163"/>
    </row>
    <row r="71" s="12" customFormat="1">
      <c r="A71" s="6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70"/>
      <c r="O71" s="13"/>
      <c r="P71" s="154"/>
      <c r="Q71" s="154"/>
      <c r="R71" s="154"/>
      <c r="S71" s="154"/>
      <c r="T71" s="143"/>
      <c r="U71" s="154"/>
      <c r="V71" s="154"/>
      <c r="W71" s="154"/>
      <c r="X71" s="154"/>
      <c r="Y71" s="154"/>
      <c r="Z71" s="154"/>
      <c r="AA71" s="163"/>
      <c r="AB71" s="163"/>
    </row>
    <row r="72" s="12" customFormat="1">
      <c r="A72" s="6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70"/>
      <c r="O72" s="13"/>
      <c r="P72" s="154"/>
      <c r="Q72" s="154"/>
      <c r="R72" s="154"/>
      <c r="S72" s="154"/>
      <c r="T72" s="143"/>
      <c r="U72" s="154"/>
      <c r="V72" s="154"/>
      <c r="W72" s="154"/>
      <c r="X72" s="154"/>
      <c r="Y72" s="154"/>
      <c r="Z72" s="154"/>
      <c r="AA72" s="163"/>
      <c r="AB72" s="163"/>
    </row>
    <row r="73" s="12" customFormat="1">
      <c r="A73" s="6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70"/>
      <c r="O73" s="13"/>
      <c r="P73" s="154"/>
      <c r="Q73" s="154"/>
      <c r="R73" s="154"/>
      <c r="S73" s="154"/>
      <c r="T73" s="143"/>
      <c r="U73" s="154"/>
      <c r="V73" s="154"/>
      <c r="W73" s="154"/>
      <c r="X73" s="154"/>
      <c r="Y73" s="154"/>
      <c r="Z73" s="154"/>
      <c r="AA73" s="163"/>
      <c r="AB73" s="163"/>
    </row>
    <row r="74" s="12" customFormat="1">
      <c r="A74" s="6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70"/>
      <c r="O74" s="13"/>
      <c r="P74" s="154"/>
      <c r="Q74" s="154"/>
      <c r="R74" s="154"/>
      <c r="S74" s="154"/>
      <c r="T74" s="143"/>
      <c r="U74" s="154"/>
      <c r="V74" s="154"/>
      <c r="W74" s="154"/>
      <c r="X74" s="154"/>
      <c r="Y74" s="154"/>
      <c r="Z74" s="154"/>
      <c r="AA74" s="163"/>
      <c r="AB74" s="163"/>
    </row>
    <row r="75" s="12" customFormat="1">
      <c r="A75" s="6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70"/>
      <c r="O75" s="13"/>
      <c r="P75" s="154"/>
      <c r="Q75" s="154"/>
      <c r="R75" s="154"/>
      <c r="S75" s="154"/>
      <c r="T75" s="143"/>
      <c r="U75" s="154"/>
      <c r="V75" s="154"/>
      <c r="W75" s="154"/>
      <c r="X75" s="154"/>
      <c r="Y75" s="154"/>
      <c r="Z75" s="154"/>
      <c r="AA75" s="163"/>
      <c r="AB75" s="163"/>
    </row>
    <row r="76" s="12" customFormat="1">
      <c r="A76" s="6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70"/>
      <c r="O76" s="13"/>
      <c r="P76" s="154"/>
      <c r="Q76" s="154"/>
      <c r="R76" s="154"/>
      <c r="S76" s="154"/>
      <c r="T76" s="143"/>
      <c r="U76" s="154"/>
      <c r="V76" s="154"/>
      <c r="W76" s="154"/>
      <c r="X76" s="154"/>
      <c r="Y76" s="154"/>
      <c r="Z76" s="154"/>
      <c r="AA76" s="163"/>
      <c r="AB76" s="163"/>
    </row>
    <row r="77" s="12" customFormat="1">
      <c r="A77" s="6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70"/>
      <c r="O77" s="13"/>
      <c r="P77" s="154"/>
      <c r="Q77" s="154"/>
      <c r="R77" s="154"/>
      <c r="S77" s="154"/>
      <c r="T77" s="143"/>
      <c r="U77" s="154"/>
      <c r="V77" s="154"/>
      <c r="W77" s="154"/>
      <c r="X77" s="154"/>
      <c r="Y77" s="154"/>
      <c r="Z77" s="154"/>
      <c r="AA77" s="163"/>
      <c r="AB77" s="163"/>
    </row>
    <row r="78" s="12" customFormat="1">
      <c r="A78" s="7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72"/>
      <c r="O78" s="13"/>
      <c r="P78" s="154"/>
      <c r="Q78" s="154"/>
      <c r="R78" s="154"/>
      <c r="S78" s="154"/>
      <c r="T78" s="143"/>
      <c r="U78" s="154"/>
      <c r="V78" s="154"/>
      <c r="W78" s="154"/>
      <c r="X78" s="154"/>
      <c r="Y78" s="154"/>
      <c r="Z78" s="154"/>
      <c r="AA78" s="163"/>
      <c r="AB78" s="163"/>
    </row>
    <row r="80" s="12" customFormat="1">
      <c r="A80" s="6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65"/>
      <c r="O80" s="13"/>
      <c r="P80" s="154"/>
      <c r="Q80" s="154"/>
      <c r="R80" s="154"/>
      <c r="S80" s="154"/>
      <c r="T80" s="143"/>
      <c r="U80" s="154"/>
      <c r="V80" s="154"/>
      <c r="W80" s="154"/>
      <c r="X80" s="154"/>
      <c r="Y80" s="154"/>
      <c r="Z80" s="154"/>
      <c r="AA80" s="163"/>
      <c r="AB80" s="163"/>
    </row>
    <row r="81" s="12" customFormat="1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8"/>
      <c r="O81" s="13"/>
      <c r="P81" s="154"/>
      <c r="Q81" s="154"/>
      <c r="R81" s="154"/>
      <c r="S81" s="154"/>
      <c r="T81" s="143"/>
      <c r="U81" s="154"/>
      <c r="V81" s="154"/>
      <c r="W81" s="154"/>
      <c r="X81" s="154"/>
      <c r="Y81" s="154"/>
      <c r="Z81" s="154"/>
      <c r="AA81" s="163"/>
      <c r="AB81" s="163"/>
    </row>
    <row r="82" s="12" customFormat="1">
      <c r="A82" s="6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70"/>
      <c r="O82" s="13"/>
      <c r="P82" s="154"/>
      <c r="Q82" s="154"/>
      <c r="R82" s="154"/>
      <c r="S82" s="154"/>
      <c r="T82" s="143"/>
      <c r="U82" s="154"/>
      <c r="V82" s="154"/>
      <c r="W82" s="154"/>
      <c r="X82" s="154"/>
      <c r="Y82" s="154"/>
      <c r="Z82" s="154"/>
      <c r="AA82" s="163"/>
      <c r="AB82" s="163"/>
    </row>
    <row r="83" s="12" customFormat="1">
      <c r="A83" s="6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70"/>
      <c r="O83" s="13"/>
      <c r="P83" s="154"/>
      <c r="Q83" s="154"/>
      <c r="R83" s="154"/>
      <c r="S83" s="154"/>
      <c r="T83" s="143"/>
      <c r="U83" s="154"/>
      <c r="V83" s="154"/>
      <c r="W83" s="154"/>
      <c r="X83" s="154"/>
      <c r="Y83" s="154"/>
      <c r="Z83" s="154"/>
      <c r="AA83" s="163"/>
      <c r="AB83" s="163"/>
    </row>
    <row r="84" s="12" customFormat="1">
      <c r="A84" s="6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70"/>
      <c r="O84" s="13"/>
      <c r="P84" s="154"/>
      <c r="Q84" s="154"/>
      <c r="R84" s="154"/>
      <c r="S84" s="154"/>
      <c r="T84" s="143"/>
      <c r="U84" s="154"/>
      <c r="V84" s="154"/>
      <c r="W84" s="154"/>
      <c r="X84" s="154"/>
      <c r="Y84" s="154"/>
      <c r="Z84" s="154"/>
      <c r="AA84" s="163"/>
      <c r="AB84" s="163"/>
    </row>
    <row r="85" s="12" customFormat="1">
      <c r="A85" s="6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70"/>
      <c r="O85" s="13"/>
      <c r="P85" s="154"/>
      <c r="Q85" s="154"/>
      <c r="R85" s="154"/>
      <c r="S85" s="154"/>
      <c r="T85" s="143"/>
      <c r="U85" s="154"/>
      <c r="V85" s="154"/>
      <c r="W85" s="154"/>
      <c r="X85" s="154"/>
      <c r="Y85" s="154"/>
      <c r="Z85" s="154"/>
      <c r="AA85" s="163"/>
      <c r="AB85" s="163"/>
    </row>
    <row r="86" s="12" customFormat="1">
      <c r="A86" s="6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70"/>
      <c r="O86" s="13"/>
      <c r="P86" s="154"/>
      <c r="Q86" s="154"/>
      <c r="R86" s="154"/>
      <c r="S86" s="154"/>
      <c r="T86" s="143"/>
      <c r="U86" s="154"/>
      <c r="V86" s="154"/>
      <c r="W86" s="154"/>
      <c r="X86" s="154"/>
      <c r="Y86" s="154"/>
      <c r="Z86" s="154"/>
      <c r="AA86" s="163"/>
      <c r="AB86" s="163"/>
    </row>
    <row r="87" s="12" customFormat="1">
      <c r="A87" s="6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70"/>
      <c r="O87" s="13"/>
      <c r="P87" s="154"/>
      <c r="Q87" s="154"/>
      <c r="R87" s="154"/>
      <c r="S87" s="154"/>
      <c r="T87" s="143"/>
      <c r="U87" s="154"/>
      <c r="V87" s="154"/>
      <c r="W87" s="154"/>
      <c r="X87" s="154"/>
      <c r="Y87" s="154"/>
      <c r="Z87" s="154"/>
      <c r="AA87" s="163"/>
      <c r="AB87" s="163"/>
    </row>
    <row r="88" s="12" customFormat="1">
      <c r="A88" s="6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70"/>
      <c r="O88" s="13"/>
      <c r="P88" s="154"/>
      <c r="Q88" s="154"/>
      <c r="R88" s="154"/>
      <c r="S88" s="154"/>
      <c r="T88" s="143"/>
      <c r="U88" s="154"/>
      <c r="V88" s="154"/>
      <c r="W88" s="154"/>
      <c r="X88" s="154"/>
      <c r="Y88" s="154"/>
      <c r="Z88" s="154"/>
      <c r="AA88" s="163"/>
      <c r="AB88" s="163"/>
    </row>
    <row r="89" s="12" customFormat="1">
      <c r="A89" s="6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70"/>
      <c r="O89" s="13"/>
      <c r="P89" s="154"/>
      <c r="Q89" s="154"/>
      <c r="R89" s="154"/>
      <c r="S89" s="154"/>
      <c r="T89" s="143"/>
      <c r="U89" s="154"/>
      <c r="V89" s="154"/>
      <c r="W89" s="154"/>
      <c r="X89" s="154"/>
      <c r="Y89" s="154"/>
      <c r="Z89" s="154"/>
      <c r="AA89" s="163"/>
      <c r="AB89" s="163"/>
    </row>
    <row r="90" s="12" customFormat="1">
      <c r="A90" s="6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70"/>
      <c r="O90" s="13"/>
      <c r="P90" s="154"/>
      <c r="Q90" s="154"/>
      <c r="R90" s="154"/>
      <c r="S90" s="154"/>
      <c r="T90" s="143"/>
      <c r="U90" s="154"/>
      <c r="V90" s="154"/>
      <c r="W90" s="154"/>
      <c r="X90" s="154"/>
      <c r="Y90" s="154"/>
      <c r="Z90" s="154"/>
      <c r="AA90" s="163"/>
      <c r="AB90" s="163"/>
    </row>
    <row r="91" s="12" customFormat="1">
      <c r="A91" s="6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70"/>
      <c r="O91" s="13"/>
      <c r="P91" s="154"/>
      <c r="Q91" s="154"/>
      <c r="R91" s="154"/>
      <c r="S91" s="154"/>
      <c r="T91" s="143"/>
      <c r="U91" s="154"/>
      <c r="V91" s="154"/>
      <c r="W91" s="154"/>
      <c r="X91" s="154"/>
      <c r="Y91" s="154"/>
      <c r="Z91" s="154"/>
      <c r="AA91" s="163"/>
      <c r="AB91" s="163"/>
    </row>
    <row r="92" s="12" customFormat="1">
      <c r="A92" s="6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70"/>
      <c r="O92" s="13"/>
      <c r="P92" s="154"/>
      <c r="Q92" s="154"/>
      <c r="R92" s="154"/>
      <c r="S92" s="154"/>
      <c r="T92" s="143"/>
      <c r="U92" s="154"/>
      <c r="V92" s="154"/>
      <c r="W92" s="154"/>
      <c r="X92" s="154"/>
      <c r="Y92" s="154"/>
      <c r="Z92" s="154"/>
      <c r="AA92" s="163"/>
      <c r="AB92" s="163"/>
    </row>
    <row r="93" s="12" customFormat="1">
      <c r="A93" s="6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0"/>
      <c r="O93" s="13"/>
      <c r="P93" s="154"/>
      <c r="Q93" s="154"/>
      <c r="R93" s="154"/>
      <c r="S93" s="154"/>
      <c r="T93" s="143"/>
      <c r="U93" s="154"/>
      <c r="V93" s="154"/>
      <c r="W93" s="154"/>
      <c r="X93" s="154"/>
      <c r="Y93" s="154"/>
      <c r="Z93" s="154"/>
      <c r="AA93" s="163"/>
      <c r="AB93" s="163"/>
    </row>
    <row r="94" s="12" customFormat="1">
      <c r="A94" s="7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72"/>
      <c r="O94" s="13"/>
      <c r="P94" s="154"/>
      <c r="Q94" s="154"/>
      <c r="R94" s="154"/>
      <c r="S94" s="154"/>
      <c r="T94" s="143"/>
      <c r="U94" s="154"/>
      <c r="V94" s="154"/>
      <c r="W94" s="154"/>
      <c r="X94" s="154"/>
      <c r="Y94" s="154"/>
      <c r="Z94" s="154"/>
      <c r="AA94" s="163"/>
      <c r="AB94" s="163"/>
    </row>
    <row r="96" s="12" customFormat="1">
      <c r="A96" s="731" t="str">
        <f>A3</f>
        <v>اسم العميل </v>
      </c>
      <c r="B96" s="732"/>
      <c r="C96" s="732"/>
      <c r="D96" s="73"/>
      <c r="E96" s="74">
        <f>D3</f>
        <v>0</v>
      </c>
      <c r="F96" s="73"/>
      <c r="G96" s="73"/>
      <c r="H96" s="73"/>
      <c r="I96" s="73"/>
      <c r="J96" s="73"/>
      <c r="K96" s="73"/>
      <c r="L96" s="73"/>
      <c r="M96" s="75"/>
      <c r="N96" s="76"/>
      <c r="O96" s="77"/>
      <c r="P96" s="142"/>
      <c r="Q96" s="142"/>
      <c r="R96" s="142"/>
      <c r="S96" s="154"/>
      <c r="T96" s="143"/>
      <c r="U96" s="154"/>
      <c r="V96" s="154"/>
      <c r="W96" s="154"/>
      <c r="X96" s="154"/>
      <c r="Y96" s="154"/>
      <c r="Z96" s="154"/>
      <c r="AA96" s="163"/>
      <c r="AB96" s="163"/>
    </row>
    <row r="97" s="12" customFormat="1">
      <c r="A97" s="78"/>
      <c r="B97" s="79"/>
      <c r="C97" s="79"/>
      <c r="D97" s="79"/>
      <c r="E97" s="80" t="str">
        <f>E8</f>
        <v>مقاس البي في سي </v>
      </c>
      <c r="F97" s="81"/>
      <c r="G97" s="81"/>
      <c r="H97" s="81"/>
      <c r="I97" s="82"/>
      <c r="J97" s="83"/>
      <c r="K97" s="79">
        <f>K8</f>
        <v>449</v>
      </c>
      <c r="L97" s="84" t="str">
        <f>M8</f>
        <v>Χ</v>
      </c>
      <c r="M97" s="733">
        <f>N8</f>
        <v>672</v>
      </c>
      <c r="N97" s="734"/>
      <c r="O97" s="84"/>
      <c r="P97" s="142"/>
      <c r="Q97" s="142"/>
      <c r="R97" s="142"/>
      <c r="S97" s="154"/>
      <c r="T97" s="143"/>
      <c r="U97" s="154"/>
      <c r="V97" s="154"/>
      <c r="W97" s="154"/>
      <c r="X97" s="154"/>
      <c r="Y97" s="154"/>
      <c r="Z97" s="154"/>
      <c r="AA97" s="163"/>
      <c r="AB97" s="163"/>
    </row>
    <row r="98" s="12" customFormat="1">
      <c r="A98" s="85"/>
      <c r="B98" s="86"/>
      <c r="C98" s="86"/>
      <c r="D98" s="86"/>
      <c r="E98" s="85" t="str">
        <f>L43</f>
        <v>لون البي في سي </v>
      </c>
      <c r="F98" s="86"/>
      <c r="G98" s="86"/>
      <c r="H98" s="86"/>
      <c r="I98" s="87"/>
      <c r="J98" s="735" t="str">
        <f>L44</f>
        <v>بيج  Ral 1013</v>
      </c>
      <c r="K98" s="736"/>
      <c r="L98" s="736"/>
      <c r="M98" s="736"/>
      <c r="N98" s="737"/>
      <c r="O98" s="84"/>
      <c r="P98" s="142"/>
      <c r="Q98" s="142"/>
      <c r="R98" s="142"/>
      <c r="S98" s="154"/>
      <c r="T98" s="143"/>
      <c r="U98" s="154"/>
      <c r="V98" s="154"/>
      <c r="W98" s="154"/>
      <c r="X98" s="154"/>
      <c r="Y98" s="154"/>
      <c r="Z98" s="154"/>
      <c r="AA98" s="163"/>
      <c r="AB98" s="163"/>
    </row>
  </sheetData>
  <sheetProtection selectLockedCells="1" selectUnlockedCells="1"/>
  <mergeCells>
    <mergeCell ref="A43:C43"/>
    <mergeCell ref="L43:N43"/>
    <mergeCell ref="L44:N44"/>
    <mergeCell ref="A96:C96"/>
    <mergeCell ref="M97:N97"/>
    <mergeCell ref="J98:N98"/>
    <mergeCell ref="B38:E38"/>
    <mergeCell ref="I38:L38"/>
    <mergeCell ref="AA39:AB40"/>
    <mergeCell ref="A40:C40"/>
    <mergeCell ref="A41:C42"/>
    <mergeCell ref="L41:N41"/>
    <mergeCell ref="AA41:AB41"/>
    <mergeCell ref="L42:N42"/>
    <mergeCell ref="B35:E35"/>
    <mergeCell ref="I35:L35"/>
    <mergeCell ref="B36:E36"/>
    <mergeCell ref="I36:L36"/>
    <mergeCell ref="B37:E37"/>
    <mergeCell ref="I37:L37"/>
    <mergeCell ref="B32:E32"/>
    <mergeCell ref="I32:L32"/>
    <mergeCell ref="B33:E33"/>
    <mergeCell ref="I33:L33"/>
    <mergeCell ref="B34:E34"/>
    <mergeCell ref="I34:L34"/>
    <mergeCell ref="B29:E29"/>
    <mergeCell ref="I29:L29"/>
    <mergeCell ref="B30:E30"/>
    <mergeCell ref="I30:L30"/>
    <mergeCell ref="B31:E31"/>
    <mergeCell ref="I31:L31"/>
    <mergeCell ref="B26:E26"/>
    <mergeCell ref="I26:L26"/>
    <mergeCell ref="B27:E27"/>
    <mergeCell ref="I27:L27"/>
    <mergeCell ref="B28:E28"/>
    <mergeCell ref="I28:L28"/>
    <mergeCell ref="A23:E23"/>
    <mergeCell ref="H23:L23"/>
    <mergeCell ref="B24:E24"/>
    <mergeCell ref="I24:L24"/>
    <mergeCell ref="B25:E25"/>
    <mergeCell ref="I25:L25"/>
    <mergeCell ref="L19:N19"/>
    <mergeCell ref="M20:N20"/>
    <mergeCell ref="A21:F21"/>
    <mergeCell ref="G21:H21"/>
    <mergeCell ref="I21:J21"/>
    <mergeCell ref="M21:N21"/>
    <mergeCell ref="A20:F20"/>
    <mergeCell ref="G20:H20"/>
    <mergeCell ref="I20:J20"/>
    <mergeCell ref="A18:F18"/>
    <mergeCell ref="G18:H18"/>
    <mergeCell ref="I18:J18"/>
    <mergeCell ref="A19:F19"/>
    <mergeCell ref="G19:H19"/>
    <mergeCell ref="I19:J19"/>
    <mergeCell ref="A16:F16"/>
    <mergeCell ref="G16:H16"/>
    <mergeCell ref="I16:J16"/>
    <mergeCell ref="L16:N16"/>
    <mergeCell ref="A17:F17"/>
    <mergeCell ref="G17:H17"/>
    <mergeCell ref="I17:J17"/>
    <mergeCell ref="L17:N17"/>
    <mergeCell ref="L13:N13"/>
    <mergeCell ref="A14:F14"/>
    <mergeCell ref="G14:H14"/>
    <mergeCell ref="I14:J14"/>
    <mergeCell ref="A15:F15"/>
    <mergeCell ref="G15:H15"/>
    <mergeCell ref="I15:J15"/>
    <mergeCell ref="A12:F12"/>
    <mergeCell ref="G12:H12"/>
    <mergeCell ref="I12:J12"/>
    <mergeCell ref="A13:F13"/>
    <mergeCell ref="G13:H13"/>
    <mergeCell ref="I13:J13"/>
    <mergeCell ref="A10:F10"/>
    <mergeCell ref="G10:H10"/>
    <mergeCell ref="I10:J10"/>
    <mergeCell ref="L10:N10"/>
    <mergeCell ref="A11:F11"/>
    <mergeCell ref="G11:H11"/>
    <mergeCell ref="I11:J11"/>
    <mergeCell ref="L11:N11"/>
    <mergeCell ref="A6:C8"/>
    <mergeCell ref="D6:D8"/>
    <mergeCell ref="E6:J6"/>
    <mergeCell ref="K6:L6"/>
    <mergeCell ref="E7:J7"/>
    <mergeCell ref="K7:M7"/>
    <mergeCell ref="E8:J8"/>
    <mergeCell ref="K8:L8"/>
    <mergeCell ref="A1:N1"/>
    <mergeCell ref="A3:C4"/>
    <mergeCell ref="D3:L4"/>
    <mergeCell ref="M3:N3"/>
    <mergeCell ref="M4:N4"/>
    <mergeCell ref="A5:C5"/>
    <mergeCell ref="D5:F5"/>
    <mergeCell ref="I5:K5"/>
    <mergeCell ref="L5:N5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bestFit="1" width="18.5703125" customWidth="1" style="1"/>
    <col min="2" max="3" width="9.140625" customWidth="1" style="2"/>
    <col min="4" max="4" width="10" customWidth="1" style="2"/>
    <col min="5" max="7" width="9.140625" customWidth="1" style="2"/>
    <col min="8" max="8" bestFit="1" width="15.140625" customWidth="1" style="2"/>
    <col min="9" max="16384" width="9.140625" customWidth="1" style="2"/>
  </cols>
  <sheetData>
    <row r="1" ht="18" customHeight="1">
      <c r="J1" s="635" t="s">
        <v>0</v>
      </c>
      <c r="K1" s="635"/>
      <c r="L1" s="635"/>
      <c r="M1" s="635"/>
      <c r="N1" s="635"/>
      <c r="O1" s="635"/>
      <c r="P1" s="635"/>
      <c r="Q1" s="635"/>
      <c r="R1" s="635"/>
      <c r="S1" s="635"/>
    </row>
    <row r="2" ht="18" customHeight="1">
      <c r="A2" s="1" t="s">
        <v>1</v>
      </c>
      <c r="B2" s="636">
        <f>Royal!C3</f>
        <v>0</v>
      </c>
      <c r="C2" s="637"/>
      <c r="D2" s="637"/>
      <c r="E2" s="637"/>
      <c r="F2" s="638"/>
      <c r="G2" s="2">
        <v>2</v>
      </c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ht="18" customHeight="1">
      <c r="A3" s="1" t="s">
        <v>2</v>
      </c>
      <c r="F3" s="639" t="s">
        <v>3</v>
      </c>
      <c r="G3" s="639"/>
    </row>
    <row r="4" ht="18" customHeight="1">
      <c r="A4" s="1" t="s">
        <v>4</v>
      </c>
      <c r="F4" s="640" t="s">
        <v>5</v>
      </c>
      <c r="G4" s="641"/>
      <c r="H4" s="641"/>
      <c r="I4" s="642"/>
      <c r="J4" s="3"/>
    </row>
    <row r="5" ht="18" customHeight="1">
      <c r="A5" s="1" t="s">
        <v>6</v>
      </c>
      <c r="F5" s="643" t="s">
        <v>7</v>
      </c>
      <c r="G5" s="644"/>
      <c r="H5" s="644"/>
      <c r="I5" s="645"/>
      <c r="J5" s="3"/>
    </row>
    <row r="6" ht="18" customHeight="1">
      <c r="A6" s="1" t="s">
        <v>8</v>
      </c>
      <c r="Q6" s="646"/>
      <c r="R6" s="646"/>
      <c r="S6" s="646"/>
    </row>
    <row r="7" ht="18" customHeight="1">
      <c r="B7" s="4" t="s">
        <v>9</v>
      </c>
      <c r="C7" s="136">
        <f>تسعير!AA33</f>
        <v>500</v>
      </c>
      <c r="D7" s="5" t="s">
        <v>10</v>
      </c>
      <c r="E7" s="137">
        <f>تسعير!X31</f>
        <v>800</v>
      </c>
    </row>
    <row r="8" ht="18" customHeight="1">
      <c r="F8" s="2">
        <v>5</v>
      </c>
    </row>
    <row r="9" ht="18" customHeight="1">
      <c r="A9" s="1" t="s">
        <v>11</v>
      </c>
    </row>
    <row r="10" ht="18" customHeight="1">
      <c r="A10" s="1" t="s">
        <v>12</v>
      </c>
    </row>
    <row r="11" ht="18" customHeight="1">
      <c r="A11" s="1" t="s">
        <v>13</v>
      </c>
      <c r="B11" s="647" t="s">
        <v>14</v>
      </c>
      <c r="C11" s="648"/>
      <c r="D11" s="644" t="s">
        <v>15</v>
      </c>
      <c r="E11" s="645"/>
    </row>
    <row r="12" ht="18" customHeight="1">
      <c r="A12" s="1" t="s">
        <v>16</v>
      </c>
    </row>
    <row r="13" ht="18" customHeight="1">
      <c r="A13" s="1" t="s">
        <v>17</v>
      </c>
    </row>
    <row r="14" ht="18" customHeight="1"/>
    <row r="15" ht="24.6" customHeight="1">
      <c r="A15" s="1" t="s">
        <v>18</v>
      </c>
      <c r="Q15" s="646"/>
      <c r="R15" s="646"/>
      <c r="S15" s="646"/>
    </row>
    <row r="16" ht="18" customHeight="1">
      <c r="C16" s="639" t="s">
        <v>19</v>
      </c>
      <c r="D16" s="639"/>
      <c r="E16" s="639"/>
      <c r="F16" s="2" t="s">
        <v>20</v>
      </c>
    </row>
    <row r="17" ht="18" customHeight="1">
      <c r="A17" s="639" t="s">
        <v>21</v>
      </c>
      <c r="B17" s="639"/>
      <c r="C17" s="639"/>
    </row>
    <row r="18" ht="18" customHeight="1">
      <c r="A18" s="633" t="s">
        <v>22</v>
      </c>
      <c r="B18" s="634"/>
      <c r="C18" s="6">
        <f>'Format Φωτισμου (2)'!B9</f>
        <v>5</v>
      </c>
    </row>
    <row r="19" ht="18" customHeight="1">
      <c r="A19" s="633" t="s">
        <v>23</v>
      </c>
      <c r="B19" s="634"/>
      <c r="C19" s="6">
        <f>'Format Φωτισμου (2)'!B12</f>
        <v>15</v>
      </c>
    </row>
    <row r="20" ht="18" customHeight="1">
      <c r="A20" s="633" t="s">
        <v>24</v>
      </c>
      <c r="B20" s="634"/>
      <c r="C20" s="6">
        <f>C19/C18</f>
        <v>3</v>
      </c>
    </row>
    <row r="21" ht="18" customHeight="1">
      <c r="A21" s="650" t="s">
        <v>25</v>
      </c>
      <c r="B21" s="651"/>
      <c r="C21" s="652">
        <v>20</v>
      </c>
      <c r="D21" s="653"/>
      <c r="E21" s="647" t="s">
        <v>26</v>
      </c>
      <c r="F21" s="648"/>
      <c r="G21" s="648"/>
      <c r="H21" s="6">
        <f>C21/C18</f>
        <v>4</v>
      </c>
      <c r="J21" s="654"/>
      <c r="K21" s="654"/>
      <c r="L21" s="654"/>
      <c r="M21" s="654"/>
      <c r="N21" s="654"/>
      <c r="O21" s="654"/>
      <c r="P21" s="654"/>
      <c r="Q21" s="654"/>
      <c r="R21" s="654"/>
      <c r="S21" s="654"/>
    </row>
    <row r="22" ht="18" customHeight="1">
      <c r="A22" s="633" t="s">
        <v>27</v>
      </c>
      <c r="B22" s="634"/>
      <c r="C22" s="7">
        <v>50</v>
      </c>
      <c r="D22" s="8" t="s">
        <v>28</v>
      </c>
      <c r="J22" s="654"/>
      <c r="K22" s="654"/>
      <c r="L22" s="654"/>
      <c r="M22" s="654"/>
      <c r="N22" s="654"/>
      <c r="O22" s="654"/>
      <c r="P22" s="654"/>
      <c r="Q22" s="654"/>
      <c r="R22" s="654"/>
      <c r="S22" s="654"/>
    </row>
    <row r="23" ht="18" customHeight="1">
      <c r="J23" s="654"/>
      <c r="K23" s="654"/>
      <c r="L23" s="654"/>
      <c r="M23" s="654"/>
      <c r="N23" s="654"/>
      <c r="O23" s="654"/>
      <c r="P23" s="654"/>
      <c r="Q23" s="654"/>
      <c r="R23" s="654"/>
      <c r="S23" s="654"/>
    </row>
    <row r="24" ht="18" customHeight="1"/>
    <row r="25" ht="18" customHeight="1">
      <c r="A25" s="1" t="s">
        <v>29</v>
      </c>
      <c r="J25" s="649"/>
      <c r="K25" s="649"/>
      <c r="L25" s="649"/>
      <c r="M25" s="649"/>
      <c r="N25" s="649"/>
      <c r="O25" s="649"/>
      <c r="P25" s="649"/>
      <c r="Q25" s="649"/>
      <c r="R25" s="9"/>
      <c r="S25" s="3"/>
    </row>
    <row r="26" ht="18" customHeight="1">
      <c r="G26" s="2" t="s">
        <v>30</v>
      </c>
      <c r="H26" s="2" t="s">
        <v>31</v>
      </c>
    </row>
    <row r="27" ht="18" customHeight="1">
      <c r="A27" s="1" t="s">
        <v>32</v>
      </c>
      <c r="G27" s="10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0">
        <f>IF('Format (2)'!J8=3,تسجيل2!G27,IF('Format (2)'!J8=1,تسجيل2!G27-2,IF('Format (2)'!J8=2,تسجيل2!G27-1,IF('Format (2)'!J8=4,تسجيل2!G27+1,IF('Format (2)'!J8=5,تسجيل2!G27+2)))))</f>
        <v>3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" t="s">
        <v>33</v>
      </c>
      <c r="G28" s="10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0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0">
        <f>IF(H27=2,2,H27+1)</f>
        <v>4</v>
      </c>
      <c r="H29" s="10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9"/>
      <c r="O29" s="9"/>
    </row>
    <row r="30" ht="18" customHeight="1">
      <c r="A30" s="1" t="s">
        <v>13</v>
      </c>
      <c r="G30" s="10">
        <f>G27</f>
        <v>3</v>
      </c>
      <c r="H30" s="10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J25:Q25"/>
    <mergeCell ref="J27:S27"/>
    <mergeCell ref="A19:B19"/>
    <mergeCell ref="A20:B20"/>
    <mergeCell ref="A21:B21"/>
    <mergeCell ref="C21:D21"/>
    <mergeCell ref="E21:G21"/>
    <mergeCell ref="J21:S23"/>
    <mergeCell ref="A22:B22"/>
    <mergeCell ref="A18:B18"/>
    <mergeCell ref="J1:S2"/>
    <mergeCell ref="B2:F2"/>
    <mergeCell ref="F3:G3"/>
    <mergeCell ref="F4:I4"/>
    <mergeCell ref="F5:I5"/>
    <mergeCell ref="Q6:S6"/>
    <mergeCell ref="B11:C11"/>
    <mergeCell ref="D11:E11"/>
    <mergeCell ref="Q15:S15"/>
    <mergeCell ref="C16:E16"/>
    <mergeCell ref="A17:C17"/>
  </mergeCells>
  <pageMargins left="0.25" right="0.25" top="0.75" bottom="0.75" header="0.3" footer="0.3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Drop Down 2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Drop Down 3">
              <controlPr defaultSize="0" autoLin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autoLin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Drop Down 7">
              <controlPr defaultSize="0" autoLin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Drop Down 8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Drop Down 9">
              <controlPr defaultSize="0" autoLin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Drop Down 10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Drop Down 11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Drop Down 12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Drop Down 13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Drop Down 14">
              <controlPr defaultSize="0" autoLin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Drop Down 15">
              <controlPr defaultSize="0" autoLin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Drop Down 16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topLeftCell="L14" zoomScale="70" zoomScaleNormal="70" workbookViewId="0">
      <selection activeCell="V39" sqref="V39"/>
    </sheetView>
  </sheetViews>
  <sheetFormatPr defaultColWidth="9.140625" defaultRowHeight="18.75"/>
  <cols>
    <col min="1" max="1" bestFit="1" width="2.7109375" customWidth="1" style="3"/>
    <col min="2" max="5" width="8.7109375" customWidth="1" style="3"/>
    <col min="6" max="6" bestFit="1" width="4.85546875" customWidth="1" style="3"/>
    <col min="7" max="7" bestFit="1" width="8.28515625" customWidth="1" style="3"/>
    <col min="8" max="8" bestFit="1" width="2.7109375" customWidth="1" style="3"/>
    <col min="9" max="12" width="8.7109375" customWidth="1" style="3"/>
    <col min="13" max="13" bestFit="1" width="4.85546875" customWidth="1" style="3"/>
    <col min="14" max="14" width="9.140625" customWidth="1" style="13"/>
    <col min="15" max="15" width="14.140625" customWidth="1" style="13"/>
    <col min="16" max="16" bestFit="1" width="11.5703125" customWidth="1" style="154"/>
    <col min="17" max="17" width="8.28515625" customWidth="1" style="154"/>
    <col min="18" max="18" width="7.5703125" customWidth="1" style="154"/>
    <col min="19" max="19" bestFit="1" width="11.28515625" customWidth="1" style="154"/>
    <col min="20" max="20" bestFit="1" width="37.5703125" customWidth="1" style="143"/>
    <col min="21" max="21" bestFit="1" width="19.42578125" customWidth="1" style="154"/>
    <col min="22" max="22" bestFit="1" width="19" customWidth="1" style="154"/>
    <col min="23" max="23" bestFit="1" width="34" customWidth="1" style="154"/>
    <col min="24" max="24" bestFit="1" width="25.5703125" customWidth="1" style="154"/>
    <col min="25" max="25" bestFit="1" width="8.7109375" customWidth="1" style="154"/>
    <col min="26" max="26" bestFit="1" width="10.7109375" customWidth="1" style="154"/>
    <col min="27" max="28" bestFit="1" width="9.42578125" customWidth="1" style="163"/>
    <col min="29" max="30" width="9.140625" customWidth="1" style="12"/>
    <col min="31" max="52" width="9.140625" customWidth="1" style="3"/>
    <col min="53" max="16384" width="9.140625" customWidth="1" style="3"/>
  </cols>
  <sheetData>
    <row r="1" ht="40.5" customHeight="1">
      <c r="A1" s="655" t="s">
        <v>580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7"/>
      <c r="O1" s="11"/>
      <c r="P1" s="142"/>
      <c r="Q1" s="142"/>
      <c r="R1" s="142"/>
      <c r="W1" s="155">
        <f>IF(تسعير!T26="سادة",Royal2!J2+20000,IF(تسعير!T26="خشبي",Royal2!J2+40000,0))</f>
        <v>172000</v>
      </c>
      <c r="X1" s="154" t="s">
        <v>519</v>
      </c>
      <c r="Y1" s="155" t="e">
        <f>Royal!#REF!</f>
        <v>#REF!</v>
      </c>
      <c r="Z1" s="166" t="s">
        <v>520</v>
      </c>
      <c r="AA1" s="154"/>
      <c r="AB1" s="154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Z2" s="166"/>
      <c r="AA2" s="154"/>
      <c r="AB2" s="154"/>
    </row>
    <row r="3" ht="12.75" customHeight="1">
      <c r="A3" s="658" t="s">
        <v>1</v>
      </c>
      <c r="B3" s="658"/>
      <c r="C3" s="658"/>
      <c r="D3" s="660">
        <f>تسجيل1!B2</f>
        <v>0</v>
      </c>
      <c r="E3" s="660"/>
      <c r="F3" s="660"/>
      <c r="G3" s="660"/>
      <c r="H3" s="660"/>
      <c r="I3" s="660"/>
      <c r="J3" s="660"/>
      <c r="K3" s="660"/>
      <c r="L3" s="660"/>
      <c r="M3" s="662" t="s">
        <v>521</v>
      </c>
      <c r="N3" s="662"/>
      <c r="O3" s="14"/>
      <c r="P3" s="144"/>
      <c r="Q3" s="144"/>
      <c r="R3" s="144"/>
      <c r="Z3" s="166"/>
      <c r="AA3" s="154"/>
      <c r="AB3" s="154"/>
    </row>
    <row r="4" ht="13.5" customHeight="1">
      <c r="A4" s="659"/>
      <c r="B4" s="659"/>
      <c r="C4" s="659"/>
      <c r="D4" s="661"/>
      <c r="E4" s="661"/>
      <c r="F4" s="661"/>
      <c r="G4" s="660"/>
      <c r="H4" s="660"/>
      <c r="I4" s="661"/>
      <c r="J4" s="661"/>
      <c r="K4" s="661"/>
      <c r="L4" s="661"/>
      <c r="M4" s="663"/>
      <c r="N4" s="663"/>
      <c r="O4" s="15"/>
      <c r="P4" s="145"/>
      <c r="Q4" s="145"/>
      <c r="R4" s="145"/>
      <c r="Z4" s="166"/>
      <c r="AA4" s="154"/>
      <c r="AB4" s="154"/>
    </row>
    <row r="5" ht="13.5" customHeight="1">
      <c r="A5" s="664" t="e">
        <f>Y1</f>
        <v>#REF!</v>
      </c>
      <c r="B5" s="665"/>
      <c r="C5" s="666"/>
      <c r="D5" s="667" t="s">
        <v>520</v>
      </c>
      <c r="E5" s="668"/>
      <c r="F5" s="669"/>
      <c r="G5" s="16"/>
      <c r="H5" s="16"/>
      <c r="I5" s="664">
        <f>W1</f>
        <v>172000</v>
      </c>
      <c r="J5" s="665"/>
      <c r="K5" s="666"/>
      <c r="L5" s="667" t="s">
        <v>522</v>
      </c>
      <c r="M5" s="668"/>
      <c r="N5" s="669"/>
      <c r="O5" s="17"/>
      <c r="P5" s="145"/>
      <c r="Q5" s="145"/>
      <c r="R5" s="145"/>
      <c r="Z5" s="166"/>
      <c r="AA5" s="154"/>
      <c r="AB5" s="154"/>
    </row>
    <row r="6" ht="16.5" customHeight="1">
      <c r="A6" s="676" t="s">
        <v>268</v>
      </c>
      <c r="B6" s="677"/>
      <c r="C6" s="678"/>
      <c r="D6" s="682" t="s">
        <v>523</v>
      </c>
      <c r="E6" s="684" t="s">
        <v>8</v>
      </c>
      <c r="F6" s="685"/>
      <c r="G6" s="686"/>
      <c r="H6" s="686"/>
      <c r="I6" s="685"/>
      <c r="J6" s="687"/>
      <c r="K6" s="688">
        <f>تسجيل2!C7</f>
        <v>500</v>
      </c>
      <c r="L6" s="688"/>
      <c r="M6" s="18" t="s">
        <v>524</v>
      </c>
      <c r="N6" s="188">
        <f>تسجيل2!E7</f>
        <v>800</v>
      </c>
      <c r="O6" s="140" t="s">
        <v>162</v>
      </c>
      <c r="P6" s="146"/>
      <c r="Q6" s="146"/>
      <c r="R6" s="146"/>
      <c r="Z6" s="166"/>
      <c r="AA6" s="154"/>
      <c r="AB6" s="154"/>
    </row>
    <row r="7" ht="21.75">
      <c r="A7" s="676"/>
      <c r="B7" s="677"/>
      <c r="C7" s="678"/>
      <c r="D7" s="682"/>
      <c r="E7" s="689" t="s">
        <v>525</v>
      </c>
      <c r="F7" s="686"/>
      <c r="G7" s="686"/>
      <c r="H7" s="686"/>
      <c r="I7" s="686"/>
      <c r="J7" s="690"/>
      <c r="K7" s="691">
        <f>K6*N6/10000</f>
        <v>40</v>
      </c>
      <c r="L7" s="691"/>
      <c r="M7" s="691"/>
      <c r="N7" s="20" t="s">
        <v>526</v>
      </c>
      <c r="O7" s="141">
        <f>AA41/K7</f>
        <v>1809.8108561903614</v>
      </c>
      <c r="S7" s="154" t="s">
        <v>162</v>
      </c>
      <c r="T7" s="143" t="s">
        <v>527</v>
      </c>
      <c r="Z7" s="166"/>
      <c r="AA7" s="154"/>
      <c r="AB7" s="154"/>
    </row>
    <row r="8">
      <c r="A8" s="679"/>
      <c r="B8" s="680"/>
      <c r="C8" s="681"/>
      <c r="D8" s="683"/>
      <c r="E8" s="692" t="s">
        <v>528</v>
      </c>
      <c r="F8" s="693"/>
      <c r="G8" s="693"/>
      <c r="H8" s="693"/>
      <c r="I8" s="693"/>
      <c r="J8" s="694"/>
      <c r="K8" s="695">
        <f>K6-1</f>
        <v>499</v>
      </c>
      <c r="L8" s="695"/>
      <c r="M8" s="152" t="s">
        <v>529</v>
      </c>
      <c r="N8" s="153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38">
        <f>O7*K7</f>
        <v>72392.434247614452</v>
      </c>
      <c r="P8" s="148"/>
      <c r="Q8" s="148"/>
      <c r="R8" s="148"/>
      <c r="S8" s="148">
        <f>Sheet2!B16</f>
        <v>225</v>
      </c>
      <c r="T8" s="156">
        <f>((K8*N8)/10000)*1.2</f>
        <v>46.22736</v>
      </c>
      <c r="U8" s="162">
        <f>T8*S8</f>
        <v>10401.155999999999</v>
      </c>
      <c r="Z8" s="166"/>
      <c r="AA8" s="154"/>
      <c r="AB8" s="154"/>
    </row>
    <row r="9">
      <c r="V9" s="144"/>
      <c r="Z9" s="166"/>
      <c r="AA9" s="154"/>
      <c r="AB9" s="154"/>
    </row>
    <row r="10" ht="30" customHeight="1">
      <c r="A10" s="699" t="s">
        <v>530</v>
      </c>
      <c r="B10" s="699"/>
      <c r="C10" s="699"/>
      <c r="D10" s="699"/>
      <c r="E10" s="699"/>
      <c r="F10" s="699"/>
      <c r="G10" s="700" t="s">
        <v>426</v>
      </c>
      <c r="H10" s="700"/>
      <c r="I10" s="700" t="s">
        <v>531</v>
      </c>
      <c r="J10" s="700"/>
      <c r="K10" s="21"/>
      <c r="L10" s="670" t="s">
        <v>32</v>
      </c>
      <c r="M10" s="670"/>
      <c r="N10" s="670"/>
      <c r="O10" s="22"/>
      <c r="P10" s="146"/>
      <c r="Q10" s="146"/>
      <c r="R10" s="146"/>
      <c r="S10" s="144" t="s">
        <v>532</v>
      </c>
      <c r="T10" s="144" t="s">
        <v>533</v>
      </c>
      <c r="U10" s="144" t="s">
        <v>534</v>
      </c>
      <c r="V10" s="144" t="s">
        <v>535</v>
      </c>
      <c r="W10" s="154" t="s">
        <v>536</v>
      </c>
      <c r="X10" s="154" t="s">
        <v>252</v>
      </c>
      <c r="Z10" s="166"/>
      <c r="AA10" s="154"/>
      <c r="AB10" s="154"/>
    </row>
    <row r="11" ht="20.1" customHeight="1">
      <c r="A11" s="671" t="s">
        <v>537</v>
      </c>
      <c r="B11" s="672"/>
      <c r="C11" s="672"/>
      <c r="D11" s="672"/>
      <c r="E11" s="672"/>
      <c r="F11" s="673"/>
      <c r="G11" s="674">
        <f>L11</f>
        <v>3</v>
      </c>
      <c r="H11" s="674"/>
      <c r="I11" s="675">
        <f>'Format διαστασης οδηγου (2)'!F8</f>
        <v>765</v>
      </c>
      <c r="J11" s="675"/>
      <c r="K11" s="23"/>
      <c r="L11" s="670">
        <f>IF(Format!A7=1,تسجيل2!H27,IF(Format!A7=2,تسجيل2!H27,IF(Format!A7=3,تسجيل2!H27,IF(Format!A7=4,تسجيل2!H27,IF(Format!A7=5,تسجيل2!H27,"-------")))))</f>
        <v>3</v>
      </c>
      <c r="M11" s="670"/>
      <c r="N11" s="670"/>
      <c r="O11" s="22"/>
      <c r="P11" s="147">
        <f>IF(I11&lt;=500,5,0)</f>
        <v>0</v>
      </c>
      <c r="Q11" s="147">
        <f>IF(I11&gt;500,7,0)</f>
        <v>7</v>
      </c>
      <c r="R11" s="147">
        <f>IF(I11&gt;700,8,0)</f>
        <v>8</v>
      </c>
      <c r="S11" s="148">
        <f>MAX(P11:R11)</f>
        <v>8</v>
      </c>
      <c r="T11" s="149">
        <f>(G11*I11)/S11/100</f>
        <v>2.86875</v>
      </c>
      <c r="U11" s="148">
        <f>CEILING(T11,0.5)</f>
        <v>3</v>
      </c>
      <c r="V11" s="148">
        <f>U11*S11</f>
        <v>24</v>
      </c>
      <c r="W11" s="157">
        <v>4.4562770562770568</v>
      </c>
      <c r="X11" s="172">
        <f>($W$1/1000)*W11*V11</f>
        <v>18395.51168831169</v>
      </c>
      <c r="Z11" s="166"/>
      <c r="AA11" s="154"/>
      <c r="AB11" s="154"/>
    </row>
    <row r="12" ht="20.1" customHeight="1">
      <c r="A12" s="696" t="s">
        <v>538</v>
      </c>
      <c r="B12" s="696"/>
      <c r="C12" s="696"/>
      <c r="D12" s="696"/>
      <c r="E12" s="696"/>
      <c r="F12" s="696"/>
      <c r="G12" s="697">
        <f>IF(L11&gt;2,4,IF(L11=2,2))</f>
        <v>4</v>
      </c>
      <c r="H12" s="697"/>
      <c r="I12" s="69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8"/>
      <c r="K12" s="23"/>
      <c r="P12" s="148">
        <f>IF(I12&lt;=300,3,0)</f>
        <v>3</v>
      </c>
      <c r="Q12" s="148">
        <f>IF(I12&gt;300,3.5,0)</f>
        <v>0</v>
      </c>
      <c r="R12" s="148">
        <f>IF(I12&gt;350,4,0)</f>
        <v>0</v>
      </c>
      <c r="S12" s="148">
        <f>MAX(P12:R12)</f>
        <v>3</v>
      </c>
      <c r="T12" s="149">
        <f>(G12*I12)/S12/100</f>
        <v>3.293333333333333</v>
      </c>
      <c r="U12" s="148">
        <f ref="U12:U21" t="shared" si="0">CEILING(T12,0.25)</f>
        <v>3.5</v>
      </c>
      <c r="V12" s="148">
        <f ref="V12:V20" t="shared" si="1">G12*S12</f>
        <v>12</v>
      </c>
      <c r="W12" s="157">
        <v>1.8637873754152825</v>
      </c>
      <c r="X12" s="172">
        <f>($W$1/1000)*W12*V12</f>
        <v>3846.8571428571431</v>
      </c>
      <c r="Z12" s="166"/>
      <c r="AA12" s="154"/>
      <c r="AB12" s="154"/>
    </row>
    <row r="13" ht="20.1" customHeight="1">
      <c r="A13" s="696" t="s">
        <v>539</v>
      </c>
      <c r="B13" s="696"/>
      <c r="C13" s="696"/>
      <c r="D13" s="696"/>
      <c r="E13" s="696"/>
      <c r="F13" s="696"/>
      <c r="G13" s="697" t="str">
        <f>IF(L11&lt;=3,"0",(L11-3)*2)</f>
        <v>0</v>
      </c>
      <c r="H13" s="697"/>
      <c r="I13" s="698">
        <f>IF(G13="-------","-------",L17-5)</f>
        <v>240.5</v>
      </c>
      <c r="J13" s="698"/>
      <c r="K13" s="23"/>
      <c r="L13" s="703" t="s">
        <v>436</v>
      </c>
      <c r="M13" s="703"/>
      <c r="N13" s="703"/>
      <c r="O13" s="24"/>
      <c r="P13" s="148">
        <f ref="P13:P20" t="shared" si="2">IF(I13&lt;=300,3,0)</f>
        <v>3</v>
      </c>
      <c r="Q13" s="148">
        <f ref="Q13:Q20" t="shared" si="3">IF(I13&gt;300,3.5,0)</f>
        <v>0</v>
      </c>
      <c r="R13" s="148">
        <f ref="R13:R20" t="shared" si="4">IF(I13&gt;350,4,0)</f>
        <v>0</v>
      </c>
      <c r="S13" s="148">
        <f ref="S13:S20" t="shared" si="5">MAX(P13:R13)</f>
        <v>3</v>
      </c>
      <c r="T13" s="149">
        <f ref="T13:T20" t="shared" si="6">(G13*I13)/S13/100</f>
        <v>0</v>
      </c>
      <c r="U13" s="148">
        <f t="shared" si="0"/>
        <v>0</v>
      </c>
      <c r="V13" s="148">
        <f t="shared" si="1"/>
        <v>0</v>
      </c>
      <c r="W13" s="157">
        <v>1.8637873754152825</v>
      </c>
      <c r="X13" s="172">
        <f ref="X13:X20" t="shared" si="7">($W$1/1000)*W13*V13</f>
        <v>0</v>
      </c>
      <c r="Z13" s="166"/>
      <c r="AA13" s="154"/>
      <c r="AB13" s="154"/>
    </row>
    <row r="14" ht="20.1" customHeight="1">
      <c r="A14" s="696" t="s">
        <v>540</v>
      </c>
      <c r="B14" s="696"/>
      <c r="C14" s="696"/>
      <c r="D14" s="696"/>
      <c r="E14" s="696"/>
      <c r="F14" s="696"/>
      <c r="G14" s="697">
        <f>IF(L11&gt;2,2*L14,IF(L11=2,L14))</f>
        <v>24</v>
      </c>
      <c r="H14" s="697"/>
      <c r="I14" s="698">
        <f>I12</f>
        <v>247</v>
      </c>
      <c r="J14" s="698"/>
      <c r="K14" s="23"/>
      <c r="L14" s="25">
        <f>تسجيل2!H28</f>
        <v>12</v>
      </c>
      <c r="M14" s="26" t="s">
        <v>440</v>
      </c>
      <c r="N14" s="25">
        <v>2</v>
      </c>
      <c r="O14" s="27"/>
      <c r="P14" s="148">
        <f t="shared" si="2"/>
        <v>3</v>
      </c>
      <c r="Q14" s="148">
        <f t="shared" si="3"/>
        <v>0</v>
      </c>
      <c r="R14" s="148">
        <f t="shared" si="4"/>
        <v>0</v>
      </c>
      <c r="S14" s="148">
        <f t="shared" si="5"/>
        <v>3</v>
      </c>
      <c r="T14" s="149">
        <f t="shared" si="6"/>
        <v>19.76</v>
      </c>
      <c r="U14" s="148">
        <f>CEILING(T14,0.5)</f>
        <v>20</v>
      </c>
      <c r="V14" s="148">
        <f t="shared" si="1"/>
        <v>72</v>
      </c>
      <c r="W14" s="157">
        <v>1.0517241379310345</v>
      </c>
      <c r="X14" s="172">
        <f t="shared" si="7"/>
        <v>13024.551724137931</v>
      </c>
      <c r="Z14" s="166"/>
      <c r="AA14" s="154"/>
      <c r="AB14" s="154"/>
    </row>
    <row r="15" ht="20.1" customHeight="1">
      <c r="A15" s="696" t="s">
        <v>541</v>
      </c>
      <c r="B15" s="696"/>
      <c r="C15" s="696"/>
      <c r="D15" s="696"/>
      <c r="E15" s="696"/>
      <c r="F15" s="696"/>
      <c r="G15" s="697" t="str">
        <f>IF(L11&lt;=3,"0",(L11-3)*L14)</f>
        <v>0</v>
      </c>
      <c r="H15" s="697"/>
      <c r="I15" s="698">
        <f>IF(G15="-------","---------",I13)</f>
        <v>240.5</v>
      </c>
      <c r="J15" s="698"/>
      <c r="K15" s="23"/>
      <c r="L15" s="23"/>
      <c r="M15" s="23"/>
      <c r="N15" s="23"/>
      <c r="O15" s="23"/>
      <c r="P15" s="148">
        <f t="shared" si="2"/>
        <v>3</v>
      </c>
      <c r="Q15" s="148">
        <f t="shared" si="3"/>
        <v>0</v>
      </c>
      <c r="R15" s="148">
        <f t="shared" si="4"/>
        <v>0</v>
      </c>
      <c r="S15" s="148">
        <f t="shared" si="5"/>
        <v>3</v>
      </c>
      <c r="T15" s="149">
        <f t="shared" si="6"/>
        <v>0</v>
      </c>
      <c r="U15" s="148">
        <f>CEILING(T15,0.5)</f>
        <v>0</v>
      </c>
      <c r="V15" s="148">
        <f t="shared" si="1"/>
        <v>0</v>
      </c>
      <c r="W15" s="157">
        <v>1.0517241379310345</v>
      </c>
      <c r="X15" s="172">
        <f t="shared" si="7"/>
        <v>0</v>
      </c>
      <c r="Z15" s="166"/>
      <c r="AA15" s="154"/>
      <c r="AB15" s="154"/>
    </row>
    <row r="16" ht="20.1" customHeight="1">
      <c r="A16" s="696" t="s">
        <v>542</v>
      </c>
      <c r="B16" s="696"/>
      <c r="C16" s="696"/>
      <c r="D16" s="696"/>
      <c r="E16" s="696"/>
      <c r="F16" s="696"/>
      <c r="G16" s="697">
        <v>1</v>
      </c>
      <c r="H16" s="697"/>
      <c r="I16" s="69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8"/>
      <c r="K16" s="23"/>
      <c r="L16" s="701" t="s">
        <v>543</v>
      </c>
      <c r="M16" s="701"/>
      <c r="N16" s="701"/>
      <c r="O16" s="27"/>
      <c r="P16" s="148">
        <f t="shared" si="2"/>
        <v>3</v>
      </c>
      <c r="Q16" s="148">
        <f t="shared" si="3"/>
        <v>0</v>
      </c>
      <c r="R16" s="148">
        <f t="shared" si="4"/>
        <v>0</v>
      </c>
      <c r="S16" s="148">
        <f t="shared" si="5"/>
        <v>3</v>
      </c>
      <c r="T16" s="149">
        <f t="shared" si="6"/>
        <v>0.82833333333333325</v>
      </c>
      <c r="U16" s="148">
        <f>CEILING(T16,0.5)</f>
        <v>1</v>
      </c>
      <c r="V16" s="148">
        <f t="shared" si="1"/>
        <v>3</v>
      </c>
      <c r="W16" s="157">
        <v>1.394871794871795</v>
      </c>
      <c r="X16" s="172">
        <f t="shared" si="7"/>
        <v>719.75384615384621</v>
      </c>
      <c r="Z16" s="166"/>
      <c r="AA16" s="154"/>
      <c r="AB16" s="154"/>
    </row>
    <row r="17" ht="20.1" customHeight="1">
      <c r="A17" s="696" t="s">
        <v>544</v>
      </c>
      <c r="B17" s="696"/>
      <c r="C17" s="696"/>
      <c r="D17" s="696"/>
      <c r="E17" s="696"/>
      <c r="F17" s="696"/>
      <c r="G17" s="697">
        <f>IF(L11=2,"0",1)</f>
        <v>1</v>
      </c>
      <c r="H17" s="697"/>
      <c r="I17" s="698">
        <f>IF(G17="-------","-------",IF(Format!A7=1,(L17+3),IF(Format!A7=2,(L17+3.5),IF(Format!A7=3,(L17+3),IF(Format!A7=4,(L17+4.25),IF(Format!A7=5,(L17+5),"--------"))))))</f>
        <v>249</v>
      </c>
      <c r="J17" s="698"/>
      <c r="K17" s="23"/>
      <c r="L17" s="702">
        <f>IF(Format!A7=1,(K6-2-6)/(L11-1),IF(Format!A7=2,(K6-2-7)/(L11-1),IF(Format!A7=3,(K6-2-6)/(L11-1),IF(Format!A7=4,(K6-2-8.5)/(L11-1),IF(Format!A7=5,(K6-2-10)/(L11-1),"--------")))))</f>
        <v>245.5</v>
      </c>
      <c r="M17" s="702"/>
      <c r="N17" s="702"/>
      <c r="O17" s="28"/>
      <c r="P17" s="148">
        <f t="shared" si="2"/>
        <v>3</v>
      </c>
      <c r="Q17" s="148">
        <f t="shared" si="3"/>
        <v>0</v>
      </c>
      <c r="R17" s="148">
        <f t="shared" si="4"/>
        <v>0</v>
      </c>
      <c r="S17" s="148">
        <f t="shared" si="5"/>
        <v>3</v>
      </c>
      <c r="T17" s="149">
        <f t="shared" si="6"/>
        <v>0.83</v>
      </c>
      <c r="U17" s="148">
        <f>CEILING(T17,0.5)</f>
        <v>1</v>
      </c>
      <c r="V17" s="148">
        <f t="shared" si="1"/>
        <v>3</v>
      </c>
      <c r="W17" s="157">
        <v>1.394871794871795</v>
      </c>
      <c r="X17" s="172">
        <f t="shared" si="7"/>
        <v>719.75384615384621</v>
      </c>
      <c r="Z17" s="166"/>
      <c r="AA17" s="154"/>
      <c r="AB17" s="154"/>
    </row>
    <row r="18" ht="20.1" customHeight="1">
      <c r="A18" s="696" t="s">
        <v>545</v>
      </c>
      <c r="B18" s="696"/>
      <c r="C18" s="696"/>
      <c r="D18" s="696"/>
      <c r="E18" s="696"/>
      <c r="F18" s="696"/>
      <c r="G18" s="697" t="str">
        <f>IF(L11&lt;=3,"0",(L11-3))</f>
        <v>0</v>
      </c>
      <c r="H18" s="697"/>
      <c r="I18" s="698">
        <f>IF(G18="-------","-------",L17)</f>
        <v>245.5</v>
      </c>
      <c r="J18" s="698"/>
      <c r="K18" s="23"/>
      <c r="L18" s="23"/>
      <c r="M18" s="23"/>
      <c r="N18" s="23"/>
      <c r="O18" s="23"/>
      <c r="P18" s="148">
        <f t="shared" si="2"/>
        <v>3</v>
      </c>
      <c r="Q18" s="148">
        <f t="shared" si="3"/>
        <v>0</v>
      </c>
      <c r="R18" s="148">
        <f t="shared" si="4"/>
        <v>0</v>
      </c>
      <c r="S18" s="148">
        <f t="shared" si="5"/>
        <v>3</v>
      </c>
      <c r="T18" s="149">
        <f t="shared" si="6"/>
        <v>0</v>
      </c>
      <c r="U18" s="148">
        <f t="shared" si="0"/>
        <v>0</v>
      </c>
      <c r="V18" s="148">
        <f t="shared" si="1"/>
        <v>0</v>
      </c>
      <c r="W18" s="157">
        <v>1.394871794871795</v>
      </c>
      <c r="X18" s="172">
        <f t="shared" si="7"/>
        <v>0</v>
      </c>
      <c r="Z18" s="166"/>
      <c r="AA18" s="154"/>
      <c r="AB18" s="154"/>
    </row>
    <row r="19" ht="20.1" customHeight="1">
      <c r="A19" s="696" t="str">
        <f>IF(Format!H4=1,"Balloon","-------")</f>
        <v>-------</v>
      </c>
      <c r="B19" s="696"/>
      <c r="C19" s="696"/>
      <c r="D19" s="696"/>
      <c r="E19" s="696"/>
      <c r="F19" s="696"/>
      <c r="G19" s="697" t="str">
        <f>IF([1]Format!H4=1,'[1]تقطيع البرجولة'!L14,"0")</f>
        <v>0</v>
      </c>
      <c r="H19" s="697"/>
      <c r="I19" s="698">
        <f>IF(G19="-------","-------",K6-2.5)</f>
        <v>497.5</v>
      </c>
      <c r="J19" s="698"/>
      <c r="K19" s="23"/>
      <c r="L19" s="709" t="s">
        <v>13</v>
      </c>
      <c r="M19" s="710"/>
      <c r="N19" s="711"/>
      <c r="O19" s="27"/>
      <c r="P19" s="148">
        <f t="shared" si="2"/>
        <v>0</v>
      </c>
      <c r="Q19" s="148">
        <f t="shared" si="3"/>
        <v>3.5</v>
      </c>
      <c r="R19" s="148">
        <f t="shared" si="4"/>
        <v>4</v>
      </c>
      <c r="S19" s="148">
        <f t="shared" si="5"/>
        <v>4</v>
      </c>
      <c r="T19" s="149">
        <f t="shared" si="6"/>
        <v>0</v>
      </c>
      <c r="U19" s="148">
        <f t="shared" si="0"/>
        <v>0</v>
      </c>
      <c r="V19" s="148">
        <f t="shared" si="1"/>
        <v>0</v>
      </c>
      <c r="W19" s="148"/>
      <c r="X19" s="172">
        <f t="shared" si="7"/>
        <v>0</v>
      </c>
      <c r="Z19" s="166"/>
      <c r="AA19" s="154"/>
      <c r="AB19" s="154"/>
    </row>
    <row r="20" ht="20.1" customHeight="1">
      <c r="A20" s="716" t="s">
        <v>546</v>
      </c>
      <c r="B20" s="717"/>
      <c r="C20" s="717"/>
      <c r="D20" s="717"/>
      <c r="E20" s="717"/>
      <c r="F20" s="718"/>
      <c r="G20" s="716">
        <f>(G12+G13)/2</f>
        <v>2</v>
      </c>
      <c r="H20" s="717"/>
      <c r="I20" s="698">
        <f>L17-7</f>
        <v>238.5</v>
      </c>
      <c r="J20" s="698"/>
      <c r="K20" s="23"/>
      <c r="L20" s="29" t="s">
        <v>426</v>
      </c>
      <c r="M20" s="712" t="s">
        <v>547</v>
      </c>
      <c r="N20" s="712"/>
      <c r="O20" s="30"/>
      <c r="P20" s="148">
        <f t="shared" si="2"/>
        <v>3</v>
      </c>
      <c r="Q20" s="148">
        <f t="shared" si="3"/>
        <v>0</v>
      </c>
      <c r="R20" s="148">
        <f t="shared" si="4"/>
        <v>0</v>
      </c>
      <c r="S20" s="148">
        <f t="shared" si="5"/>
        <v>3</v>
      </c>
      <c r="T20" s="149">
        <f t="shared" si="6"/>
        <v>1.59</v>
      </c>
      <c r="U20" s="148">
        <f t="shared" si="0"/>
        <v>1.75</v>
      </c>
      <c r="V20" s="148">
        <f t="shared" si="1"/>
        <v>6</v>
      </c>
      <c r="W20" s="148">
        <v>1.65</v>
      </c>
      <c r="X20" s="172">
        <f t="shared" si="7"/>
        <v>1702.8000000000002</v>
      </c>
      <c r="Z20" s="166"/>
      <c r="AA20" s="154"/>
      <c r="AB20" s="154"/>
    </row>
    <row r="21" ht="20.1" customHeight="1">
      <c r="A21" s="713" t="s">
        <v>548</v>
      </c>
      <c r="B21" s="713"/>
      <c r="C21" s="713"/>
      <c r="D21" s="713"/>
      <c r="E21" s="713"/>
      <c r="F21" s="713"/>
      <c r="G21" s="714">
        <f>L11</f>
        <v>3</v>
      </c>
      <c r="H21" s="714"/>
      <c r="I21" s="715">
        <f>(I11*2)+45</f>
        <v>1575</v>
      </c>
      <c r="J21" s="715"/>
      <c r="K21" s="23"/>
      <c r="L21" s="31">
        <f>IF(Format!E7=1,"-------",IF(Format!E7=5,"-------",تسجيل2!H30))</f>
        <v>3</v>
      </c>
      <c r="M21" s="701" t="str">
        <f>IF(L21="-------","-------",تسجيل2!D11)</f>
        <v>4Χ220- 1Χ250</v>
      </c>
      <c r="N21" s="701"/>
      <c r="O21" s="27"/>
      <c r="P21" s="177"/>
      <c r="Q21" s="177"/>
      <c r="R21" s="177"/>
      <c r="S21" s="165">
        <v>1</v>
      </c>
      <c r="T21" s="164">
        <f>(G21*I21)/100</f>
        <v>47.25</v>
      </c>
      <c r="U21" s="165">
        <f t="shared" si="0"/>
        <v>47.25</v>
      </c>
      <c r="V21" s="165">
        <f>U21*S21</f>
        <v>47.25</v>
      </c>
      <c r="W21" s="165">
        <f>Sheet2!B17</f>
        <v>175</v>
      </c>
      <c r="X21" s="173">
        <f>W21*V21</f>
        <v>8268.75</v>
      </c>
      <c r="Z21" s="166"/>
      <c r="AA21" s="154"/>
      <c r="AB21" s="154"/>
    </row>
    <row r="22" ht="20.1" customHeight="1">
      <c r="A22" s="32"/>
      <c r="B22" s="32"/>
      <c r="C22" s="32"/>
      <c r="D22" s="32"/>
      <c r="E22" s="32"/>
      <c r="F22" s="32"/>
      <c r="G22" s="33"/>
      <c r="H22" s="33"/>
      <c r="I22" s="34"/>
      <c r="J22" s="34"/>
      <c r="K22" s="23"/>
      <c r="L22" s="27"/>
      <c r="M22" s="27"/>
      <c r="N22" s="35"/>
      <c r="O22" s="35"/>
      <c r="P22" s="178"/>
      <c r="Q22" s="178"/>
      <c r="R22" s="178"/>
      <c r="X22" s="174">
        <f>SUM(X11:X18,X21)</f>
        <v>44975.178247614458</v>
      </c>
      <c r="Z22" s="166"/>
      <c r="AA22" s="154"/>
      <c r="AB22" s="154"/>
    </row>
    <row r="23" ht="20.1" customHeight="1">
      <c r="A23" s="704" t="s">
        <v>549</v>
      </c>
      <c r="B23" s="705"/>
      <c r="C23" s="705"/>
      <c r="D23" s="705"/>
      <c r="E23" s="706"/>
      <c r="F23" s="36" t="s">
        <v>550</v>
      </c>
      <c r="G23" s="37"/>
      <c r="H23" s="704" t="s">
        <v>551</v>
      </c>
      <c r="I23" s="705"/>
      <c r="J23" s="705"/>
      <c r="K23" s="705"/>
      <c r="L23" s="706"/>
      <c r="M23" s="36" t="s">
        <v>426</v>
      </c>
      <c r="N23" s="38"/>
      <c r="O23" s="38"/>
      <c r="P23" s="179"/>
      <c r="Q23" s="179"/>
      <c r="R23" s="179"/>
      <c r="S23" s="160"/>
      <c r="T23" s="161" t="s">
        <v>552</v>
      </c>
      <c r="U23" s="160" t="s">
        <v>553</v>
      </c>
      <c r="V23" s="160" t="s">
        <v>554</v>
      </c>
      <c r="W23" s="160" t="s">
        <v>555</v>
      </c>
      <c r="X23" s="160" t="s">
        <v>553</v>
      </c>
      <c r="Y23" s="160" t="s">
        <v>554</v>
      </c>
      <c r="Z23" s="175"/>
      <c r="AA23" s="160">
        <v>1</v>
      </c>
      <c r="AB23" s="160">
        <v>2</v>
      </c>
    </row>
    <row r="24" ht="20.1" customHeight="1">
      <c r="A24" s="39">
        <v>1</v>
      </c>
      <c r="B24" s="707" t="s">
        <v>556</v>
      </c>
      <c r="C24" s="707"/>
      <c r="D24" s="707"/>
      <c r="E24" s="707"/>
      <c r="F24" s="40">
        <f>L11</f>
        <v>3</v>
      </c>
      <c r="G24" s="41"/>
      <c r="H24" s="39">
        <v>16</v>
      </c>
      <c r="I24" s="707" t="s">
        <v>18</v>
      </c>
      <c r="J24" s="707"/>
      <c r="K24" s="707"/>
      <c r="L24" s="707"/>
      <c r="M24" s="40">
        <f>IF(K7&lt;=65,1,2)</f>
        <v>1</v>
      </c>
      <c r="N24" s="38"/>
      <c r="O24" s="38"/>
      <c r="P24" s="159"/>
      <c r="Q24" s="159"/>
      <c r="R24" s="159"/>
      <c r="T24" s="143" t="str">
        <f ref="T24:T38" t="shared" si="8">B24</f>
        <v>بالتة تثبيت البروفيل في الحائط</v>
      </c>
      <c r="U24" s="158"/>
      <c r="V24" s="158">
        <v>130</v>
      </c>
      <c r="W24" s="154" t="str">
        <f ref="W24:W38" t="shared" si="9">I24</f>
        <v>ماتور </v>
      </c>
      <c r="X24" s="158"/>
      <c r="Y24" s="158">
        <f>Sheet2!B33</f>
        <v>5000</v>
      </c>
      <c r="Z24" s="166"/>
      <c r="AA24" s="154">
        <f>V24*F24</f>
        <v>390</v>
      </c>
      <c r="AB24" s="154">
        <f ref="AB24:AB38" t="shared" si="10">Y24*M24</f>
        <v>5000</v>
      </c>
    </row>
    <row r="25" ht="20.1" customHeight="1">
      <c r="A25" s="42">
        <v>2</v>
      </c>
      <c r="B25" s="708" t="s">
        <v>557</v>
      </c>
      <c r="C25" s="708"/>
      <c r="D25" s="708"/>
      <c r="E25" s="708"/>
      <c r="F25" s="43">
        <f>L11</f>
        <v>3</v>
      </c>
      <c r="G25" s="41"/>
      <c r="H25" s="42">
        <v>17</v>
      </c>
      <c r="I25" s="708" t="s">
        <v>260</v>
      </c>
      <c r="J25" s="708"/>
      <c r="K25" s="708"/>
      <c r="L25" s="708"/>
      <c r="M25" s="43">
        <f>IF(M34=1,0,1)</f>
        <v>1</v>
      </c>
      <c r="N25" s="38"/>
      <c r="O25" s="38"/>
      <c r="P25" s="159"/>
      <c r="Q25" s="159"/>
      <c r="R25" s="159"/>
      <c r="T25" s="143" t="str">
        <f t="shared" si="8"/>
        <v>لسان مشرشر مع المسمار والصمولة</v>
      </c>
      <c r="U25" s="158"/>
      <c r="V25" s="158">
        <v>22</v>
      </c>
      <c r="W25" s="154" t="str">
        <f t="shared" si="9"/>
        <v>ريموت كنترول </v>
      </c>
      <c r="X25" s="158"/>
      <c r="Y25" s="158">
        <f>Sheet2!B34</f>
        <v>1000</v>
      </c>
      <c r="Z25" s="166"/>
      <c r="AA25" s="154">
        <f ref="AA25:AA38" t="shared" si="11">V25*F25</f>
        <v>66</v>
      </c>
      <c r="AB25" s="154">
        <f t="shared" si="10"/>
        <v>1000</v>
      </c>
    </row>
    <row r="26" ht="20.1" customHeight="1">
      <c r="A26" s="42">
        <v>3</v>
      </c>
      <c r="B26" s="708" t="s">
        <v>558</v>
      </c>
      <c r="C26" s="708"/>
      <c r="D26" s="708"/>
      <c r="E26" s="708"/>
      <c r="F26" s="43">
        <f>M24</f>
        <v>1</v>
      </c>
      <c r="G26" s="41"/>
      <c r="H26" s="42">
        <v>18</v>
      </c>
      <c r="I26" s="708" t="s">
        <v>559</v>
      </c>
      <c r="J26" s="708"/>
      <c r="K26" s="708"/>
      <c r="L26" s="708"/>
      <c r="M26" s="43">
        <f>(F24*2)-M27</f>
        <v>5</v>
      </c>
      <c r="N26" s="38"/>
      <c r="O26" s="38"/>
      <c r="P26" s="159"/>
      <c r="Q26" s="159"/>
      <c r="R26" s="159"/>
      <c r="T26" s="143" t="str">
        <f t="shared" si="8"/>
        <v>غطاء ماتور بلاستيك مع 2 صامولة 8 م</v>
      </c>
      <c r="U26" s="158"/>
      <c r="V26" s="158">
        <v>11</v>
      </c>
      <c r="W26" s="154" t="str">
        <f t="shared" si="9"/>
        <v>بالتة جانبية خلفية مفتوحة (واحدة)</v>
      </c>
      <c r="X26" s="158"/>
      <c r="Y26" s="158">
        <v>53</v>
      </c>
      <c r="Z26" s="166"/>
      <c r="AA26" s="154">
        <f t="shared" si="11"/>
        <v>11</v>
      </c>
      <c r="AB26" s="154">
        <f t="shared" si="10"/>
        <v>265</v>
      </c>
    </row>
    <row r="27" ht="20.1" customHeight="1">
      <c r="A27" s="42">
        <v>4</v>
      </c>
      <c r="B27" s="719" t="s">
        <v>560</v>
      </c>
      <c r="C27" s="720"/>
      <c r="D27" s="720"/>
      <c r="E27" s="721"/>
      <c r="F27" s="43">
        <v>4</v>
      </c>
      <c r="G27" s="41"/>
      <c r="H27" s="42">
        <v>19</v>
      </c>
      <c r="I27" s="708" t="s">
        <v>561</v>
      </c>
      <c r="J27" s="708"/>
      <c r="K27" s="708"/>
      <c r="L27" s="708"/>
      <c r="M27" s="43">
        <f>IF(M24=1,1,0)</f>
        <v>1</v>
      </c>
      <c r="N27" s="38"/>
      <c r="O27" s="38"/>
      <c r="P27" s="159"/>
      <c r="Q27" s="159"/>
      <c r="R27" s="159"/>
      <c r="T27" s="143" t="str">
        <f t="shared" si="8"/>
        <v>غطاء جانبي مداد كبير  بلاستيك (واحدة)</v>
      </c>
      <c r="U27" s="158"/>
      <c r="V27" s="158">
        <v>3.5</v>
      </c>
      <c r="W27" s="154" t="str">
        <f t="shared" si="9"/>
        <v>بالتة جانبية خلفية مغلقة (واحدة)</v>
      </c>
      <c r="X27" s="158"/>
      <c r="Y27" s="158">
        <v>82</v>
      </c>
      <c r="Z27" s="166"/>
      <c r="AA27" s="154">
        <f t="shared" si="11"/>
        <v>14</v>
      </c>
      <c r="AB27" s="154">
        <f t="shared" si="10"/>
        <v>82</v>
      </c>
    </row>
    <row r="28" ht="20.1" customHeight="1">
      <c r="A28" s="42">
        <v>5</v>
      </c>
      <c r="B28" s="719" t="s">
        <v>562</v>
      </c>
      <c r="C28" s="720"/>
      <c r="D28" s="720"/>
      <c r="E28" s="721"/>
      <c r="F28" s="43">
        <f>L14</f>
        <v>12</v>
      </c>
      <c r="G28" s="41"/>
      <c r="H28" s="42">
        <v>20</v>
      </c>
      <c r="I28" s="708" t="s">
        <v>563</v>
      </c>
      <c r="J28" s="708"/>
      <c r="K28" s="708"/>
      <c r="L28" s="708"/>
      <c r="M28" s="43">
        <f>IF(I11&gt;700,G11,0)</f>
        <v>3</v>
      </c>
      <c r="N28" s="38"/>
      <c r="O28" s="38"/>
      <c r="P28" s="159"/>
      <c r="Q28" s="159"/>
      <c r="R28" s="159"/>
      <c r="T28" s="143" t="str">
        <f t="shared" si="8"/>
        <v>غطاء جانبي مداد صغير   بلاستيك (زوج)</v>
      </c>
      <c r="U28" s="158"/>
      <c r="V28" s="158">
        <v>3</v>
      </c>
      <c r="W28" s="154" t="str">
        <f t="shared" si="9"/>
        <v>بالتة تجميع البروفيل (زوج )</v>
      </c>
      <c r="X28" s="158"/>
      <c r="Y28" s="158">
        <v>440</v>
      </c>
      <c r="Z28" s="166"/>
      <c r="AA28" s="154">
        <f t="shared" si="11"/>
        <v>36</v>
      </c>
      <c r="AB28" s="154">
        <f t="shared" si="10"/>
        <v>1320</v>
      </c>
    </row>
    <row r="29" ht="20.1" customHeight="1">
      <c r="A29" s="42">
        <v>6</v>
      </c>
      <c r="B29" s="719" t="s">
        <v>564</v>
      </c>
      <c r="C29" s="720"/>
      <c r="D29" s="720"/>
      <c r="E29" s="721"/>
      <c r="F29" s="43">
        <f>L11*2</f>
        <v>6</v>
      </c>
      <c r="G29" s="41"/>
      <c r="H29" s="42">
        <v>21</v>
      </c>
      <c r="I29" s="708" t="s">
        <v>261</v>
      </c>
      <c r="J29" s="708"/>
      <c r="K29" s="708"/>
      <c r="L29" s="708"/>
      <c r="M29" s="44">
        <f>F24</f>
        <v>3</v>
      </c>
      <c r="N29" s="38"/>
      <c r="O29" s="38"/>
      <c r="P29" s="159"/>
      <c r="Q29" s="159"/>
      <c r="R29" s="159"/>
      <c r="T29" s="143" t="str">
        <f t="shared" si="8"/>
        <v>طبة بلاستيك مدور للمداد الكبير</v>
      </c>
      <c r="U29" s="158"/>
      <c r="V29" s="158">
        <v>2</v>
      </c>
      <c r="W29" s="154" t="str">
        <f t="shared" si="9"/>
        <v>طقم اكسسوار امامي بالغطاء الالومنيوم</v>
      </c>
      <c r="X29" s="158"/>
      <c r="Y29" s="158">
        <f>Sheet2!B35</f>
        <v>250</v>
      </c>
      <c r="Z29" s="166"/>
      <c r="AA29" s="154">
        <f t="shared" si="11"/>
        <v>12</v>
      </c>
      <c r="AB29" s="154">
        <f t="shared" si="10"/>
        <v>750</v>
      </c>
    </row>
    <row r="30" ht="20.1" customHeight="1">
      <c r="A30" s="42">
        <v>7</v>
      </c>
      <c r="B30" s="719" t="s">
        <v>565</v>
      </c>
      <c r="C30" s="720"/>
      <c r="D30" s="720"/>
      <c r="E30" s="721"/>
      <c r="F30" s="43">
        <f>L14*L11</f>
        <v>36</v>
      </c>
      <c r="G30" s="41"/>
      <c r="H30" s="42">
        <v>22</v>
      </c>
      <c r="I30" s="708" t="s">
        <v>262</v>
      </c>
      <c r="J30" s="708"/>
      <c r="K30" s="708"/>
      <c r="L30" s="708"/>
      <c r="M30" s="44">
        <f>F24</f>
        <v>3</v>
      </c>
      <c r="N30" s="38"/>
      <c r="O30" s="38"/>
      <c r="P30" s="159"/>
      <c r="Q30" s="159"/>
      <c r="R30" s="159"/>
      <c r="T30" s="143" t="str">
        <f t="shared" si="8"/>
        <v>طبة بلاستيك مدور للمداد الصغير</v>
      </c>
      <c r="U30" s="158"/>
      <c r="V30" s="158">
        <v>2</v>
      </c>
      <c r="W30" s="154" t="str">
        <f t="shared" si="9"/>
        <v>طقم اكسسوار خلفي</v>
      </c>
      <c r="X30" s="158">
        <v>0</v>
      </c>
      <c r="Y30" s="158">
        <f>Sheet2!B36</f>
        <v>250</v>
      </c>
      <c r="Z30" s="166"/>
      <c r="AA30" s="154">
        <f t="shared" si="11"/>
        <v>72</v>
      </c>
      <c r="AB30" s="154">
        <f t="shared" si="10"/>
        <v>750</v>
      </c>
    </row>
    <row r="31" ht="20.1" customHeight="1">
      <c r="A31" s="42">
        <v>8</v>
      </c>
      <c r="B31" s="719" t="s">
        <v>566</v>
      </c>
      <c r="C31" s="720"/>
      <c r="D31" s="720"/>
      <c r="E31" s="721"/>
      <c r="F31" s="43">
        <f>(L14+N14)*2</f>
        <v>28</v>
      </c>
      <c r="G31" s="41"/>
      <c r="H31" s="42">
        <v>23</v>
      </c>
      <c r="I31" s="708" t="s">
        <v>567</v>
      </c>
      <c r="J31" s="708"/>
      <c r="K31" s="708"/>
      <c r="L31" s="708"/>
      <c r="M31" s="43">
        <f>F30</f>
        <v>36</v>
      </c>
      <c r="N31" s="38"/>
      <c r="O31" s="38"/>
      <c r="P31" s="159"/>
      <c r="Q31" s="159"/>
      <c r="R31" s="159"/>
      <c r="T31" s="143" t="str">
        <f t="shared" si="8"/>
        <v> وردة بلاستيك شد البى فى سي </v>
      </c>
      <c r="U31" s="158"/>
      <c r="V31" s="158">
        <v>2</v>
      </c>
      <c r="W31" s="154" t="str">
        <f t="shared" si="9"/>
        <v>عربية صغيرة بالصامولة + جلبة بلاستيك</v>
      </c>
      <c r="X31" s="158"/>
      <c r="Y31" s="158">
        <v>80</v>
      </c>
      <c r="Z31" s="166"/>
      <c r="AA31" s="154">
        <f t="shared" si="11"/>
        <v>56</v>
      </c>
      <c r="AB31" s="154">
        <f t="shared" si="10"/>
        <v>2880</v>
      </c>
    </row>
    <row r="32" ht="20.1" customHeight="1">
      <c r="A32" s="42">
        <v>9</v>
      </c>
      <c r="B32" s="719" t="s">
        <v>568</v>
      </c>
      <c r="C32" s="720"/>
      <c r="D32" s="720"/>
      <c r="E32" s="721"/>
      <c r="F32" s="43">
        <f>(L14+N14)*2</f>
        <v>28</v>
      </c>
      <c r="G32" s="41"/>
      <c r="H32" s="42">
        <v>24</v>
      </c>
      <c r="I32" s="708" t="s">
        <v>569</v>
      </c>
      <c r="J32" s="708"/>
      <c r="K32" s="708"/>
      <c r="L32" s="708"/>
      <c r="M32" s="44">
        <f>F24</f>
        <v>3</v>
      </c>
      <c r="N32" s="38"/>
      <c r="O32" s="38"/>
      <c r="P32" s="159"/>
      <c r="Q32" s="159"/>
      <c r="R32" s="159"/>
      <c r="T32" s="143" t="str">
        <f t="shared" si="8"/>
        <v>مسمار سن صاج لشد البلاستيك </v>
      </c>
      <c r="U32" s="158"/>
      <c r="V32" s="158">
        <v>5</v>
      </c>
      <c r="W32" s="154" t="str">
        <f t="shared" si="9"/>
        <v>عربية كبيرة بالسان و 5مسامير +جلبة بلاستيك</v>
      </c>
      <c r="X32" s="158">
        <v>0</v>
      </c>
      <c r="Y32" s="158">
        <v>90</v>
      </c>
      <c r="Z32" s="166"/>
      <c r="AA32" s="154">
        <f t="shared" si="11"/>
        <v>140</v>
      </c>
      <c r="AB32" s="154">
        <f t="shared" si="10"/>
        <v>270</v>
      </c>
    </row>
    <row r="33" ht="20.1" customHeight="1" s="12" customFormat="1">
      <c r="A33" s="42">
        <v>10</v>
      </c>
      <c r="B33" s="719" t="s">
        <v>570</v>
      </c>
      <c r="C33" s="720"/>
      <c r="D33" s="720"/>
      <c r="E33" s="721"/>
      <c r="F33" s="43">
        <f>L11*3</f>
        <v>9</v>
      </c>
      <c r="G33" s="41"/>
      <c r="H33" s="42">
        <v>25</v>
      </c>
      <c r="I33" s="708" t="s">
        <v>571</v>
      </c>
      <c r="J33" s="708"/>
      <c r="K33" s="708"/>
      <c r="L33" s="708"/>
      <c r="M33" s="43">
        <f>F24</f>
        <v>3</v>
      </c>
      <c r="N33" s="38"/>
      <c r="O33" s="38"/>
      <c r="P33" s="159"/>
      <c r="Q33" s="159"/>
      <c r="R33" s="159"/>
      <c r="S33" s="154"/>
      <c r="T33" s="143" t="str">
        <f t="shared" si="8"/>
        <v>مسمار   مجلفن 12M × 80 </v>
      </c>
      <c r="U33" s="158"/>
      <c r="V33" s="158">
        <v>3.5</v>
      </c>
      <c r="W33" s="154" t="str">
        <f t="shared" si="9"/>
        <v>بالتات امامية باللوجو (زوج)</v>
      </c>
      <c r="X33" s="158"/>
      <c r="Y33" s="158">
        <v>165</v>
      </c>
      <c r="Z33" s="166"/>
      <c r="AA33" s="154">
        <f t="shared" si="11"/>
        <v>31.5</v>
      </c>
      <c r="AB33" s="154">
        <f t="shared" si="10"/>
        <v>495</v>
      </c>
    </row>
    <row r="34" ht="20.1" customHeight="1" s="12" customFormat="1">
      <c r="A34" s="42">
        <v>11</v>
      </c>
      <c r="B34" s="719" t="s">
        <v>572</v>
      </c>
      <c r="C34" s="720"/>
      <c r="D34" s="720"/>
      <c r="E34" s="721"/>
      <c r="F34" s="43">
        <f>L11*3</f>
        <v>9</v>
      </c>
      <c r="G34" s="41"/>
      <c r="H34" s="42">
        <v>26</v>
      </c>
      <c r="I34" s="708" t="s">
        <v>263</v>
      </c>
      <c r="J34" s="708"/>
      <c r="K34" s="708"/>
      <c r="L34" s="708"/>
      <c r="M34" s="43">
        <f>IF(M24=2,1,0)</f>
        <v>0</v>
      </c>
      <c r="N34" s="38"/>
      <c r="O34" s="38"/>
      <c r="P34" s="159"/>
      <c r="Q34" s="159"/>
      <c r="R34" s="159"/>
      <c r="S34" s="154"/>
      <c r="T34" s="143" t="str">
        <f t="shared" si="8"/>
        <v>صامولة مجلفنة 12M</v>
      </c>
      <c r="U34" s="158"/>
      <c r="V34" s="158">
        <v>3.5</v>
      </c>
      <c r="W34" s="154" t="str">
        <f t="shared" si="9"/>
        <v>جهاز كونترول للمواتير</v>
      </c>
      <c r="X34" s="158"/>
      <c r="Y34" s="158">
        <f>Sheet2!B37</f>
        <v>5000</v>
      </c>
      <c r="Z34" s="166"/>
      <c r="AA34" s="154">
        <f t="shared" si="11"/>
        <v>31.5</v>
      </c>
      <c r="AB34" s="154">
        <f t="shared" si="10"/>
        <v>0</v>
      </c>
    </row>
    <row r="35" ht="20.1" customHeight="1" s="12" customFormat="1">
      <c r="A35" s="42">
        <v>12</v>
      </c>
      <c r="B35" s="719" t="s">
        <v>573</v>
      </c>
      <c r="C35" s="720"/>
      <c r="D35" s="720"/>
      <c r="E35" s="721"/>
      <c r="F35" s="43">
        <f>IF(L11&gt;2,(L11-2)*2,"0")</f>
        <v>2</v>
      </c>
      <c r="G35" s="45"/>
      <c r="H35" s="42">
        <v>27</v>
      </c>
      <c r="I35" s="708" t="s">
        <v>264</v>
      </c>
      <c r="J35" s="708"/>
      <c r="K35" s="708"/>
      <c r="L35" s="708"/>
      <c r="M35" s="43">
        <f>M34</f>
        <v>0</v>
      </c>
      <c r="N35" s="38"/>
      <c r="O35" s="38"/>
      <c r="P35" s="159"/>
      <c r="Q35" s="159"/>
      <c r="R35" s="159"/>
      <c r="S35" s="159">
        <v>0.385</v>
      </c>
      <c r="T35" s="143" t="str">
        <f t="shared" si="8"/>
        <v>وصلة مداد كبير </v>
      </c>
      <c r="U35" s="158"/>
      <c r="V35" s="158">
        <v>45</v>
      </c>
      <c r="W35" s="154" t="str">
        <f t="shared" si="9"/>
        <v>مفتاح تشغيل</v>
      </c>
      <c r="X35" s="158"/>
      <c r="Y35" s="158">
        <f>Sheet2!B38</f>
        <v>250</v>
      </c>
      <c r="Z35" s="166"/>
      <c r="AA35" s="154">
        <f t="shared" si="11"/>
        <v>90</v>
      </c>
      <c r="AB35" s="154">
        <f t="shared" si="10"/>
        <v>0</v>
      </c>
    </row>
    <row r="36" ht="20.1" customHeight="1" s="12" customFormat="1">
      <c r="A36" s="42">
        <v>13</v>
      </c>
      <c r="B36" s="719" t="s">
        <v>574</v>
      </c>
      <c r="C36" s="720"/>
      <c r="D36" s="720"/>
      <c r="E36" s="721"/>
      <c r="F36" s="43">
        <f>IF(L11&gt;2,(L11-2)*L14,"0")</f>
        <v>12</v>
      </c>
      <c r="G36" s="45"/>
      <c r="H36" s="42">
        <v>28</v>
      </c>
      <c r="I36" s="708" t="s">
        <v>575</v>
      </c>
      <c r="J36" s="708"/>
      <c r="K36" s="708"/>
      <c r="L36" s="708"/>
      <c r="M36" s="43">
        <f>G20</f>
        <v>2</v>
      </c>
      <c r="N36" s="38"/>
      <c r="O36" s="38"/>
      <c r="P36" s="159"/>
      <c r="Q36" s="159"/>
      <c r="R36" s="159"/>
      <c r="S36" s="159">
        <v>0.2</v>
      </c>
      <c r="T36" s="143" t="str">
        <f t="shared" si="8"/>
        <v>وصلة مداد صغير </v>
      </c>
      <c r="U36" s="158"/>
      <c r="V36" s="158">
        <v>30</v>
      </c>
      <c r="W36" s="154" t="str">
        <f>I36</f>
        <v>زاوية تثبيت المرايه الخلفية زوج </v>
      </c>
      <c r="X36" s="158"/>
      <c r="Y36" s="158">
        <v>100</v>
      </c>
      <c r="Z36" s="166"/>
      <c r="AA36" s="154">
        <f t="shared" si="11"/>
        <v>360</v>
      </c>
      <c r="AB36" s="154">
        <f t="shared" si="10"/>
        <v>200</v>
      </c>
    </row>
    <row r="37" ht="20.1" customHeight="1" s="12" customFormat="1">
      <c r="A37" s="42">
        <v>14</v>
      </c>
      <c r="B37" s="719" t="s">
        <v>576</v>
      </c>
      <c r="C37" s="720"/>
      <c r="D37" s="720"/>
      <c r="E37" s="721"/>
      <c r="F37" s="43">
        <f>M24</f>
        <v>1</v>
      </c>
      <c r="G37" s="45"/>
      <c r="H37" s="42">
        <v>29</v>
      </c>
      <c r="I37" s="708" t="s">
        <v>577</v>
      </c>
      <c r="J37" s="708"/>
      <c r="K37" s="708"/>
      <c r="L37" s="708"/>
      <c r="M37" s="43">
        <f>F24</f>
        <v>3</v>
      </c>
      <c r="N37" s="38"/>
      <c r="O37" s="38"/>
      <c r="P37" s="159"/>
      <c r="Q37" s="159"/>
      <c r="R37" s="159"/>
      <c r="S37" s="154"/>
      <c r="T37" s="143" t="str">
        <f t="shared" si="8"/>
        <v>ويل و كراون و بسكوتة ستانلس</v>
      </c>
      <c r="U37" s="158"/>
      <c r="V37" s="158">
        <v>52</v>
      </c>
      <c r="W37" s="154" t="str">
        <f t="shared" si="9"/>
        <v>حرف U اتثبيت المجري من الامام</v>
      </c>
      <c r="X37" s="158"/>
      <c r="Y37" s="158">
        <v>45</v>
      </c>
      <c r="Z37" s="166"/>
      <c r="AA37" s="154">
        <f t="shared" si="11"/>
        <v>52</v>
      </c>
      <c r="AB37" s="154">
        <f t="shared" si="10"/>
        <v>135</v>
      </c>
    </row>
    <row r="38" ht="18.6" customHeight="1" s="12" customFormat="1">
      <c r="A38" s="42">
        <v>15</v>
      </c>
      <c r="B38" s="708" t="s">
        <v>265</v>
      </c>
      <c r="C38" s="708"/>
      <c r="D38" s="708"/>
      <c r="E38" s="708"/>
      <c r="F38" s="43">
        <f>تسجيل1!C21</f>
        <v>20</v>
      </c>
      <c r="G38" s="45"/>
      <c r="H38" s="42">
        <v>30</v>
      </c>
      <c r="I38" s="708" t="s">
        <v>578</v>
      </c>
      <c r="J38" s="708"/>
      <c r="K38" s="708"/>
      <c r="L38" s="708"/>
      <c r="M38" s="43">
        <f>(I11*4)/100</f>
        <v>30.6</v>
      </c>
      <c r="N38" s="38"/>
      <c r="O38" s="38"/>
      <c r="P38" s="159"/>
      <c r="Q38" s="159"/>
      <c r="R38" s="159"/>
      <c r="S38" s="154"/>
      <c r="T38" s="143" t="str">
        <f t="shared" si="8"/>
        <v>لمبات ليد بالغطاء و الدويل و وش ستانلس</v>
      </c>
      <c r="U38" s="158"/>
      <c r="V38" s="158">
        <f>Sheet2!B39</f>
        <v>120</v>
      </c>
      <c r="W38" s="154" t="str">
        <f t="shared" si="9"/>
        <v>مانع المياه للبروفيل</v>
      </c>
      <c r="X38" s="158"/>
      <c r="Y38" s="158">
        <v>3.5</v>
      </c>
      <c r="Z38" s="166"/>
      <c r="AA38" s="154">
        <f t="shared" si="11"/>
        <v>2400</v>
      </c>
      <c r="AB38" s="154">
        <f t="shared" si="10"/>
        <v>107.10000000000001</v>
      </c>
    </row>
    <row r="39" ht="15.6" customHeight="1" s="12" customFormat="1">
      <c r="A39" s="46"/>
      <c r="B39" s="3"/>
      <c r="C39" s="3"/>
      <c r="D39" s="3"/>
      <c r="E39" s="3"/>
      <c r="F39" s="47"/>
      <c r="G39" s="37"/>
      <c r="H39" s="46"/>
      <c r="I39" s="48"/>
      <c r="J39" s="48"/>
      <c r="K39" s="48"/>
      <c r="L39" s="48"/>
      <c r="M39" s="47"/>
      <c r="N39" s="38"/>
      <c r="O39" s="38"/>
      <c r="P39" s="159"/>
      <c r="Q39" s="159"/>
      <c r="R39" s="159"/>
      <c r="S39" s="154"/>
      <c r="T39" s="167"/>
      <c r="U39" s="168"/>
      <c r="V39" s="168"/>
      <c r="W39" s="168"/>
      <c r="X39" s="168"/>
      <c r="Y39" s="168"/>
      <c r="Z39" s="176"/>
      <c r="AA39" s="738">
        <f>SUM(AA24:AB38)</f>
        <v>17016.1</v>
      </c>
      <c r="AB39" s="738"/>
    </row>
    <row r="40" ht="20.45" customHeight="1" s="12" customFormat="1">
      <c r="A40" s="739" t="s">
        <v>579</v>
      </c>
      <c r="B40" s="740"/>
      <c r="C40" s="740"/>
      <c r="D40" s="49"/>
      <c r="E40" s="49"/>
      <c r="F40" s="50"/>
      <c r="G40" s="51"/>
      <c r="H40" s="52"/>
      <c r="I40" s="53"/>
      <c r="J40" s="53"/>
      <c r="K40" s="53"/>
      <c r="L40" s="49"/>
      <c r="M40" s="54"/>
      <c r="N40" s="55"/>
      <c r="O40" s="56"/>
      <c r="P40" s="150"/>
      <c r="Q40" s="150"/>
      <c r="R40" s="150"/>
      <c r="S40" s="166"/>
      <c r="T40" s="180"/>
      <c r="U40" s="181"/>
      <c r="V40" s="181"/>
      <c r="W40" s="181"/>
      <c r="X40" s="181"/>
      <c r="Y40" s="181"/>
      <c r="Z40" s="182"/>
      <c r="AA40" s="738"/>
      <c r="AB40" s="738"/>
    </row>
    <row r="41" ht="18.75" customHeight="1" s="12" customFormat="1">
      <c r="A41" s="741" t="str">
        <f>IF(Format!I5=1,"-------",IF(Format!I5=2,Format!I3,Format!I4))</f>
        <v>صونفي </v>
      </c>
      <c r="B41" s="742"/>
      <c r="C41" s="743"/>
      <c r="D41" s="48"/>
      <c r="E41" s="48"/>
      <c r="F41" s="47"/>
      <c r="G41" s="37"/>
      <c r="H41" s="46"/>
      <c r="I41" s="48"/>
      <c r="J41" s="48"/>
      <c r="K41" s="48"/>
      <c r="L41" s="744" t="s">
        <v>4</v>
      </c>
      <c r="M41" s="745"/>
      <c r="N41" s="746"/>
      <c r="O41" s="57"/>
      <c r="P41" s="150"/>
      <c r="Q41" s="150"/>
      <c r="R41" s="150"/>
      <c r="S41" s="166"/>
      <c r="T41" s="183"/>
      <c r="U41" s="154"/>
      <c r="V41" s="154"/>
      <c r="W41" s="154"/>
      <c r="X41" s="154"/>
      <c r="Y41" s="154"/>
      <c r="Z41" s="166"/>
      <c r="AA41" s="747">
        <f>AA39+X22+U8</f>
        <v>72392.434247614452</v>
      </c>
      <c r="AB41" s="747"/>
    </row>
    <row r="42" ht="13.9" customHeight="1" s="12" customFormat="1">
      <c r="A42" s="741"/>
      <c r="B42" s="742"/>
      <c r="C42" s="743"/>
      <c r="D42" s="3"/>
      <c r="E42" s="3"/>
      <c r="F42" s="3"/>
      <c r="G42" s="3"/>
      <c r="H42" s="3"/>
      <c r="I42" s="3"/>
      <c r="J42" s="3"/>
      <c r="K42" s="3"/>
      <c r="L42" s="748" t="str">
        <f>IF(Format!B5=1,Format!B2,IF(Format!B5=2,Format!B3,تسجيل1!F4))</f>
        <v>بيج  Ral 1013</v>
      </c>
      <c r="M42" s="749"/>
      <c r="N42" s="750"/>
      <c r="O42" s="33"/>
      <c r="P42" s="178"/>
      <c r="Q42" s="178"/>
      <c r="R42" s="178"/>
      <c r="S42" s="166"/>
      <c r="T42" s="183"/>
      <c r="U42" s="154"/>
      <c r="V42" s="154"/>
      <c r="W42" s="154"/>
      <c r="X42" s="154"/>
      <c r="Y42" s="154"/>
      <c r="Z42" s="166"/>
      <c r="AA42" s="154"/>
      <c r="AB42" s="154"/>
    </row>
    <row r="43" ht="15" customHeight="1" s="12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3"/>
      <c r="E43" s="3"/>
      <c r="F43" s="3"/>
      <c r="G43" s="3"/>
      <c r="H43" s="3"/>
      <c r="I43" s="3"/>
      <c r="J43" s="3"/>
      <c r="K43" s="3"/>
      <c r="L43" s="725" t="s">
        <v>6</v>
      </c>
      <c r="M43" s="726"/>
      <c r="N43" s="727"/>
      <c r="O43" s="58"/>
      <c r="P43" s="151"/>
      <c r="Q43" s="151"/>
      <c r="R43" s="151"/>
      <c r="S43" s="166"/>
      <c r="T43" s="183"/>
      <c r="U43" s="184"/>
      <c r="V43" s="143"/>
      <c r="W43" s="154"/>
      <c r="X43" s="154"/>
      <c r="Y43" s="154"/>
      <c r="Z43" s="166"/>
      <c r="AA43" s="154"/>
      <c r="AB43" s="154"/>
    </row>
    <row r="44" ht="18.6" customHeight="1" s="12" customFormat="1">
      <c r="A44" s="59"/>
      <c r="B44" s="60"/>
      <c r="C44" s="61"/>
      <c r="D44" s="62"/>
      <c r="E44" s="62"/>
      <c r="F44" s="62"/>
      <c r="G44" s="62"/>
      <c r="H44" s="62"/>
      <c r="I44" s="62"/>
      <c r="J44" s="62"/>
      <c r="K44" s="62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63"/>
      <c r="P44" s="151"/>
      <c r="Q44" s="151"/>
      <c r="R44" s="151"/>
      <c r="S44" s="166"/>
      <c r="T44" s="183"/>
      <c r="U44" s="154"/>
      <c r="V44" s="154"/>
      <c r="W44" s="154"/>
      <c r="X44" s="154"/>
      <c r="Y44" s="154"/>
      <c r="Z44" s="166"/>
      <c r="AA44" s="154"/>
      <c r="AB44" s="154"/>
    </row>
    <row r="45">
      <c r="S45" s="166"/>
      <c r="T45" s="183"/>
      <c r="Z45" s="166"/>
      <c r="AA45" s="154"/>
      <c r="AB45" s="154"/>
    </row>
    <row r="46" ht="19.5">
      <c r="S46" s="166"/>
      <c r="T46" s="185"/>
      <c r="U46" s="186"/>
      <c r="V46" s="186"/>
      <c r="W46" s="186"/>
      <c r="X46" s="186"/>
      <c r="Y46" s="186"/>
      <c r="Z46" s="187"/>
      <c r="AA46" s="154"/>
      <c r="AB46" s="154"/>
    </row>
    <row r="47">
      <c r="T47" s="169"/>
      <c r="U47" s="170"/>
      <c r="V47" s="170"/>
      <c r="W47" s="170"/>
      <c r="X47" s="170"/>
      <c r="Y47" s="170"/>
      <c r="Z47" s="170"/>
    </row>
    <row r="48" s="12" customFormat="1">
      <c r="A48" s="6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65"/>
      <c r="O48" s="13"/>
      <c r="P48" s="154"/>
      <c r="Q48" s="154"/>
      <c r="R48" s="154"/>
      <c r="S48" s="154"/>
      <c r="T48" s="143"/>
      <c r="U48" s="154"/>
      <c r="V48" s="154"/>
      <c r="W48" s="154"/>
      <c r="X48" s="154"/>
      <c r="Y48" s="154"/>
      <c r="Z48" s="154"/>
      <c r="AA48" s="163"/>
      <c r="AB48" s="163"/>
    </row>
    <row r="49" s="12" customFormat="1">
      <c r="A49" s="66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8"/>
      <c r="O49" s="13"/>
      <c r="P49" s="154"/>
      <c r="Q49" s="154"/>
      <c r="R49" s="154"/>
      <c r="S49" s="154"/>
      <c r="T49" s="143"/>
      <c r="U49" s="154"/>
      <c r="V49" s="154"/>
      <c r="W49" s="154"/>
      <c r="X49" s="154"/>
      <c r="Y49" s="154"/>
      <c r="Z49" s="154"/>
      <c r="AA49" s="163"/>
      <c r="AB49" s="163"/>
    </row>
    <row r="50" s="12" customFormat="1">
      <c r="A50" s="6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70"/>
      <c r="O50" s="13"/>
      <c r="P50" s="154"/>
      <c r="Q50" s="154"/>
      <c r="R50" s="154"/>
      <c r="S50" s="154"/>
      <c r="T50" s="143"/>
      <c r="U50" s="154"/>
      <c r="V50" s="154"/>
      <c r="W50" s="154"/>
      <c r="X50" s="154"/>
      <c r="Y50" s="154"/>
      <c r="Z50" s="154"/>
      <c r="AA50" s="163"/>
      <c r="AB50" s="163"/>
    </row>
    <row r="51" s="12" customFormat="1">
      <c r="A51" s="6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70"/>
      <c r="O51" s="13"/>
      <c r="P51" s="154"/>
      <c r="Q51" s="154"/>
      <c r="R51" s="154"/>
      <c r="S51" s="154"/>
      <c r="T51" s="143"/>
      <c r="U51" s="154"/>
      <c r="V51" s="154"/>
      <c r="W51" s="154"/>
      <c r="X51" s="154"/>
      <c r="Y51" s="154"/>
      <c r="Z51" s="154"/>
      <c r="AA51" s="163"/>
      <c r="AB51" s="163"/>
    </row>
    <row r="52" s="12" customFormat="1">
      <c r="A52" s="6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70"/>
      <c r="O52" s="13"/>
      <c r="P52" s="154"/>
      <c r="Q52" s="154"/>
      <c r="R52" s="154"/>
      <c r="S52" s="154"/>
      <c r="T52" s="143"/>
      <c r="U52" s="154"/>
      <c r="V52" s="154"/>
      <c r="W52" s="154"/>
      <c r="X52" s="154"/>
      <c r="Y52" s="154"/>
      <c r="Z52" s="154"/>
      <c r="AA52" s="163"/>
      <c r="AB52" s="163"/>
    </row>
    <row r="53" s="12" customFormat="1">
      <c r="A53" s="6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70"/>
      <c r="O53" s="13"/>
      <c r="P53" s="154"/>
      <c r="Q53" s="154"/>
      <c r="R53" s="154"/>
      <c r="S53" s="154"/>
      <c r="T53" s="143"/>
      <c r="U53" s="154"/>
      <c r="V53" s="154"/>
      <c r="W53" s="154"/>
      <c r="X53" s="154"/>
      <c r="Y53" s="154"/>
      <c r="Z53" s="154"/>
      <c r="AA53" s="163"/>
      <c r="AB53" s="163"/>
    </row>
    <row r="54" s="12" customFormat="1">
      <c r="A54" s="6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70"/>
      <c r="O54" s="13"/>
      <c r="P54" s="154"/>
      <c r="Q54" s="154"/>
      <c r="R54" s="154"/>
      <c r="S54" s="154"/>
      <c r="T54" s="143"/>
      <c r="U54" s="154"/>
      <c r="V54" s="154"/>
      <c r="W54" s="154"/>
      <c r="X54" s="154"/>
      <c r="Y54" s="154"/>
      <c r="Z54" s="154"/>
      <c r="AA54" s="163"/>
      <c r="AB54" s="163"/>
    </row>
    <row r="55" s="12" customFormat="1">
      <c r="A55" s="6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70"/>
      <c r="O55" s="13"/>
      <c r="P55" s="154"/>
      <c r="Q55" s="154"/>
      <c r="R55" s="154"/>
      <c r="S55" s="154"/>
      <c r="T55" s="143"/>
      <c r="U55" s="154"/>
      <c r="V55" s="154"/>
      <c r="W55" s="154"/>
      <c r="X55" s="154"/>
      <c r="Y55" s="154"/>
      <c r="Z55" s="154"/>
      <c r="AA55" s="163"/>
      <c r="AB55" s="163"/>
    </row>
    <row r="56" s="12" customFormat="1">
      <c r="A56" s="6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0"/>
      <c r="O56" s="13"/>
      <c r="P56" s="154"/>
      <c r="Q56" s="154"/>
      <c r="R56" s="154"/>
      <c r="S56" s="154"/>
      <c r="T56" s="143"/>
      <c r="U56" s="154"/>
      <c r="V56" s="154"/>
      <c r="W56" s="154"/>
      <c r="X56" s="154"/>
      <c r="Y56" s="154"/>
      <c r="Z56" s="154"/>
      <c r="AA56" s="163"/>
      <c r="AB56" s="163"/>
    </row>
    <row r="57" s="12" customFormat="1">
      <c r="A57" s="6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70"/>
      <c r="O57" s="13"/>
      <c r="P57" s="154"/>
      <c r="Q57" s="154"/>
      <c r="R57" s="154"/>
      <c r="S57" s="154"/>
      <c r="T57" s="143"/>
      <c r="U57" s="154"/>
      <c r="V57" s="154"/>
      <c r="W57" s="154"/>
      <c r="X57" s="154"/>
      <c r="Y57" s="154"/>
      <c r="Z57" s="154"/>
      <c r="AA57" s="163"/>
      <c r="AB57" s="163"/>
    </row>
    <row r="58" s="12" customFormat="1">
      <c r="A58" s="6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70"/>
      <c r="O58" s="13"/>
      <c r="P58" s="154"/>
      <c r="Q58" s="154"/>
      <c r="R58" s="154"/>
      <c r="S58" s="154"/>
      <c r="T58" s="143"/>
      <c r="U58" s="154"/>
      <c r="V58" s="154"/>
      <c r="W58" s="154"/>
      <c r="X58" s="154"/>
      <c r="Y58" s="154"/>
      <c r="Z58" s="154"/>
      <c r="AA58" s="163"/>
      <c r="AB58" s="163"/>
    </row>
    <row r="59" s="12" customFormat="1">
      <c r="A59" s="6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70"/>
      <c r="O59" s="13"/>
      <c r="P59" s="154"/>
      <c r="Q59" s="154"/>
      <c r="R59" s="154"/>
      <c r="S59" s="154"/>
      <c r="T59" s="143"/>
      <c r="U59" s="154"/>
      <c r="V59" s="154"/>
      <c r="W59" s="154"/>
      <c r="X59" s="154"/>
      <c r="Y59" s="154"/>
      <c r="Z59" s="154"/>
      <c r="AA59" s="163"/>
      <c r="AB59" s="163"/>
    </row>
    <row r="60" s="12" customFormat="1">
      <c r="A60" s="6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70"/>
      <c r="O60" s="13"/>
      <c r="P60" s="154"/>
      <c r="Q60" s="154"/>
      <c r="R60" s="154"/>
      <c r="S60" s="154"/>
      <c r="T60" s="143"/>
      <c r="U60" s="154"/>
      <c r="V60" s="154"/>
      <c r="W60" s="154"/>
      <c r="X60" s="154"/>
      <c r="Y60" s="154"/>
      <c r="Z60" s="154"/>
      <c r="AA60" s="163"/>
      <c r="AB60" s="163"/>
    </row>
    <row r="61" s="12" customFormat="1">
      <c r="A61" s="6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70"/>
      <c r="O61" s="13"/>
      <c r="P61" s="154"/>
      <c r="Q61" s="154"/>
      <c r="R61" s="154"/>
      <c r="S61" s="154"/>
      <c r="T61" s="143"/>
      <c r="U61" s="154"/>
      <c r="V61" s="154"/>
      <c r="W61" s="154"/>
      <c r="X61" s="154"/>
      <c r="Y61" s="154"/>
      <c r="Z61" s="154"/>
      <c r="AA61" s="163"/>
      <c r="AB61" s="163"/>
    </row>
    <row r="62" s="12" customFormat="1">
      <c r="A62" s="7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72"/>
      <c r="O62" s="13"/>
      <c r="P62" s="154"/>
      <c r="Q62" s="154"/>
      <c r="R62" s="154"/>
      <c r="S62" s="154"/>
      <c r="T62" s="143"/>
      <c r="U62" s="154"/>
      <c r="V62" s="154"/>
      <c r="W62" s="154"/>
      <c r="X62" s="154"/>
      <c r="Y62" s="154"/>
      <c r="Z62" s="154"/>
      <c r="AA62" s="163"/>
      <c r="AB62" s="163"/>
    </row>
    <row r="64" s="12" customFormat="1">
      <c r="A64" s="64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65"/>
      <c r="O64" s="13"/>
      <c r="P64" s="154"/>
      <c r="Q64" s="154"/>
      <c r="R64" s="154"/>
      <c r="S64" s="154"/>
      <c r="T64" s="143"/>
      <c r="U64" s="154"/>
      <c r="V64" s="154"/>
      <c r="W64" s="154"/>
      <c r="X64" s="154"/>
      <c r="Y64" s="154"/>
      <c r="Z64" s="154"/>
      <c r="AA64" s="163"/>
      <c r="AB64" s="163"/>
    </row>
    <row r="65" s="12" customFormat="1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13"/>
      <c r="P65" s="154"/>
      <c r="Q65" s="154"/>
      <c r="R65" s="154"/>
      <c r="S65" s="154"/>
      <c r="T65" s="143"/>
      <c r="U65" s="154"/>
      <c r="V65" s="154"/>
      <c r="W65" s="154"/>
      <c r="X65" s="154"/>
      <c r="Y65" s="154"/>
      <c r="Z65" s="154"/>
      <c r="AA65" s="163"/>
      <c r="AB65" s="163"/>
    </row>
    <row r="66" s="12" customFormat="1">
      <c r="A66" s="6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70"/>
      <c r="O66" s="13"/>
      <c r="P66" s="154"/>
      <c r="Q66" s="154"/>
      <c r="R66" s="154"/>
      <c r="S66" s="154"/>
      <c r="T66" s="143"/>
      <c r="U66" s="154"/>
      <c r="V66" s="154"/>
      <c r="W66" s="154"/>
      <c r="X66" s="154"/>
      <c r="Y66" s="154"/>
      <c r="Z66" s="154"/>
      <c r="AA66" s="163"/>
      <c r="AB66" s="163"/>
    </row>
    <row r="67" s="12" customFormat="1">
      <c r="A67" s="6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70"/>
      <c r="O67" s="13"/>
      <c r="P67" s="154"/>
      <c r="Q67" s="154"/>
      <c r="R67" s="154"/>
      <c r="S67" s="154"/>
      <c r="T67" s="143"/>
      <c r="U67" s="154"/>
      <c r="V67" s="154"/>
      <c r="W67" s="154"/>
      <c r="X67" s="154"/>
      <c r="Y67" s="154"/>
      <c r="Z67" s="154"/>
      <c r="AA67" s="163"/>
      <c r="AB67" s="163"/>
    </row>
    <row r="68" s="12" customFormat="1">
      <c r="A68" s="6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70"/>
      <c r="O68" s="13"/>
      <c r="P68" s="154"/>
      <c r="Q68" s="154"/>
      <c r="R68" s="154"/>
      <c r="S68" s="154"/>
      <c r="T68" s="143"/>
      <c r="U68" s="154"/>
      <c r="V68" s="154"/>
      <c r="W68" s="154"/>
      <c r="X68" s="154"/>
      <c r="Y68" s="154"/>
      <c r="Z68" s="154"/>
      <c r="AA68" s="163"/>
      <c r="AB68" s="163"/>
    </row>
    <row r="69" s="12" customFormat="1">
      <c r="A69" s="6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70"/>
      <c r="O69" s="13"/>
      <c r="P69" s="154"/>
      <c r="Q69" s="154"/>
      <c r="R69" s="154"/>
      <c r="S69" s="154"/>
      <c r="T69" s="143"/>
      <c r="U69" s="154"/>
      <c r="V69" s="154"/>
      <c r="W69" s="154"/>
      <c r="X69" s="154"/>
      <c r="Y69" s="154"/>
      <c r="Z69" s="154"/>
      <c r="AA69" s="163"/>
      <c r="AB69" s="163"/>
    </row>
    <row r="70" s="12" customFormat="1">
      <c r="A70" s="6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70"/>
      <c r="O70" s="13"/>
      <c r="P70" s="154"/>
      <c r="Q70" s="154"/>
      <c r="R70" s="154"/>
      <c r="S70" s="154"/>
      <c r="T70" s="143"/>
      <c r="U70" s="154"/>
      <c r="V70" s="154"/>
      <c r="W70" s="154"/>
      <c r="X70" s="154"/>
      <c r="Y70" s="154"/>
      <c r="Z70" s="154"/>
      <c r="AA70" s="163"/>
      <c r="AB70" s="163"/>
    </row>
    <row r="71" s="12" customFormat="1">
      <c r="A71" s="6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70"/>
      <c r="O71" s="13"/>
      <c r="P71" s="154"/>
      <c r="Q71" s="154"/>
      <c r="R71" s="154"/>
      <c r="S71" s="154"/>
      <c r="T71" s="143"/>
      <c r="U71" s="154"/>
      <c r="V71" s="154"/>
      <c r="W71" s="154"/>
      <c r="X71" s="154"/>
      <c r="Y71" s="154"/>
      <c r="Z71" s="154"/>
      <c r="AA71" s="163"/>
      <c r="AB71" s="163"/>
    </row>
    <row r="72" s="12" customFormat="1">
      <c r="A72" s="6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70"/>
      <c r="O72" s="13"/>
      <c r="P72" s="154"/>
      <c r="Q72" s="154"/>
      <c r="R72" s="154"/>
      <c r="S72" s="154"/>
      <c r="T72" s="143"/>
      <c r="U72" s="154"/>
      <c r="V72" s="154"/>
      <c r="W72" s="154"/>
      <c r="X72" s="154"/>
      <c r="Y72" s="154"/>
      <c r="Z72" s="154"/>
      <c r="AA72" s="163"/>
      <c r="AB72" s="163"/>
    </row>
    <row r="73" s="12" customFormat="1">
      <c r="A73" s="6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70"/>
      <c r="O73" s="13"/>
      <c r="P73" s="154"/>
      <c r="Q73" s="154"/>
      <c r="R73" s="154"/>
      <c r="S73" s="154"/>
      <c r="T73" s="143"/>
      <c r="U73" s="154"/>
      <c r="V73" s="154"/>
      <c r="W73" s="154"/>
      <c r="X73" s="154"/>
      <c r="Y73" s="154"/>
      <c r="Z73" s="154"/>
      <c r="AA73" s="163"/>
      <c r="AB73" s="163"/>
    </row>
    <row r="74" s="12" customFormat="1">
      <c r="A74" s="6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70"/>
      <c r="O74" s="13"/>
      <c r="P74" s="154"/>
      <c r="Q74" s="154"/>
      <c r="R74" s="154"/>
      <c r="S74" s="154"/>
      <c r="T74" s="143"/>
      <c r="U74" s="154"/>
      <c r="V74" s="154"/>
      <c r="W74" s="154"/>
      <c r="X74" s="154"/>
      <c r="Y74" s="154"/>
      <c r="Z74" s="154"/>
      <c r="AA74" s="163"/>
      <c r="AB74" s="163"/>
    </row>
    <row r="75" s="12" customFormat="1">
      <c r="A75" s="6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70"/>
      <c r="O75" s="13"/>
      <c r="P75" s="154"/>
      <c r="Q75" s="154"/>
      <c r="R75" s="154"/>
      <c r="S75" s="154"/>
      <c r="T75" s="143"/>
      <c r="U75" s="154"/>
      <c r="V75" s="154"/>
      <c r="W75" s="154"/>
      <c r="X75" s="154"/>
      <c r="Y75" s="154"/>
      <c r="Z75" s="154"/>
      <c r="AA75" s="163"/>
      <c r="AB75" s="163"/>
    </row>
    <row r="76" s="12" customFormat="1">
      <c r="A76" s="6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70"/>
      <c r="O76" s="13"/>
      <c r="P76" s="154"/>
      <c r="Q76" s="154"/>
      <c r="R76" s="154"/>
      <c r="S76" s="154"/>
      <c r="T76" s="143"/>
      <c r="U76" s="154"/>
      <c r="V76" s="154"/>
      <c r="W76" s="154"/>
      <c r="X76" s="154"/>
      <c r="Y76" s="154"/>
      <c r="Z76" s="154"/>
      <c r="AA76" s="163"/>
      <c r="AB76" s="163"/>
    </row>
    <row r="77" s="12" customFormat="1">
      <c r="A77" s="6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70"/>
      <c r="O77" s="13"/>
      <c r="P77" s="154"/>
      <c r="Q77" s="154"/>
      <c r="R77" s="154"/>
      <c r="S77" s="154"/>
      <c r="T77" s="143"/>
      <c r="U77" s="154"/>
      <c r="V77" s="154"/>
      <c r="W77" s="154"/>
      <c r="X77" s="154"/>
      <c r="Y77" s="154"/>
      <c r="Z77" s="154"/>
      <c r="AA77" s="163"/>
      <c r="AB77" s="163"/>
    </row>
    <row r="78" s="12" customFormat="1">
      <c r="A78" s="7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72"/>
      <c r="O78" s="13"/>
      <c r="P78" s="154"/>
      <c r="Q78" s="154"/>
      <c r="R78" s="154"/>
      <c r="S78" s="154"/>
      <c r="T78" s="143"/>
      <c r="U78" s="154"/>
      <c r="V78" s="154"/>
      <c r="W78" s="154"/>
      <c r="X78" s="154"/>
      <c r="Y78" s="154"/>
      <c r="Z78" s="154"/>
      <c r="AA78" s="163"/>
      <c r="AB78" s="163"/>
    </row>
    <row r="80" s="12" customFormat="1">
      <c r="A80" s="6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65"/>
      <c r="O80" s="13"/>
      <c r="P80" s="154"/>
      <c r="Q80" s="154"/>
      <c r="R80" s="154"/>
      <c r="S80" s="154"/>
      <c r="T80" s="143"/>
      <c r="U80" s="154"/>
      <c r="V80" s="154"/>
      <c r="W80" s="154"/>
      <c r="X80" s="154"/>
      <c r="Y80" s="154"/>
      <c r="Z80" s="154"/>
      <c r="AA80" s="163"/>
      <c r="AB80" s="163"/>
    </row>
    <row r="81" s="12" customFormat="1">
      <c r="A81" s="66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8"/>
      <c r="O81" s="13"/>
      <c r="P81" s="154"/>
      <c r="Q81" s="154"/>
      <c r="R81" s="154"/>
      <c r="S81" s="154"/>
      <c r="T81" s="143"/>
      <c r="U81" s="154"/>
      <c r="V81" s="154"/>
      <c r="W81" s="154"/>
      <c r="X81" s="154"/>
      <c r="Y81" s="154"/>
      <c r="Z81" s="154"/>
      <c r="AA81" s="163"/>
      <c r="AB81" s="163"/>
    </row>
    <row r="82" s="12" customFormat="1">
      <c r="A82" s="6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70"/>
      <c r="O82" s="13"/>
      <c r="P82" s="154"/>
      <c r="Q82" s="154"/>
      <c r="R82" s="154"/>
      <c r="S82" s="154"/>
      <c r="T82" s="143"/>
      <c r="U82" s="154"/>
      <c r="V82" s="154"/>
      <c r="W82" s="154"/>
      <c r="X82" s="154"/>
      <c r="Y82" s="154"/>
      <c r="Z82" s="154"/>
      <c r="AA82" s="163"/>
      <c r="AB82" s="163"/>
    </row>
    <row r="83" s="12" customFormat="1">
      <c r="A83" s="6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70"/>
      <c r="O83" s="13"/>
      <c r="P83" s="154"/>
      <c r="Q83" s="154"/>
      <c r="R83" s="154"/>
      <c r="S83" s="154"/>
      <c r="T83" s="143"/>
      <c r="U83" s="154"/>
      <c r="V83" s="154"/>
      <c r="W83" s="154"/>
      <c r="X83" s="154"/>
      <c r="Y83" s="154"/>
      <c r="Z83" s="154"/>
      <c r="AA83" s="163"/>
      <c r="AB83" s="163"/>
    </row>
    <row r="84" s="12" customFormat="1">
      <c r="A84" s="6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70"/>
      <c r="O84" s="13"/>
      <c r="P84" s="154"/>
      <c r="Q84" s="154"/>
      <c r="R84" s="154"/>
      <c r="S84" s="154"/>
      <c r="T84" s="143"/>
      <c r="U84" s="154"/>
      <c r="V84" s="154"/>
      <c r="W84" s="154"/>
      <c r="X84" s="154"/>
      <c r="Y84" s="154"/>
      <c r="Z84" s="154"/>
      <c r="AA84" s="163"/>
      <c r="AB84" s="163"/>
    </row>
    <row r="85" s="12" customFormat="1">
      <c r="A85" s="6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70"/>
      <c r="O85" s="13"/>
      <c r="P85" s="154"/>
      <c r="Q85" s="154"/>
      <c r="R85" s="154"/>
      <c r="S85" s="154"/>
      <c r="T85" s="143"/>
      <c r="U85" s="154"/>
      <c r="V85" s="154"/>
      <c r="W85" s="154"/>
      <c r="X85" s="154"/>
      <c r="Y85" s="154"/>
      <c r="Z85" s="154"/>
      <c r="AA85" s="163"/>
      <c r="AB85" s="163"/>
    </row>
    <row r="86" s="12" customFormat="1">
      <c r="A86" s="6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70"/>
      <c r="O86" s="13"/>
      <c r="P86" s="154"/>
      <c r="Q86" s="154"/>
      <c r="R86" s="154"/>
      <c r="S86" s="154"/>
      <c r="T86" s="143"/>
      <c r="U86" s="154"/>
      <c r="V86" s="154"/>
      <c r="W86" s="154"/>
      <c r="X86" s="154"/>
      <c r="Y86" s="154"/>
      <c r="Z86" s="154"/>
      <c r="AA86" s="163"/>
      <c r="AB86" s="163"/>
    </row>
    <row r="87" s="12" customFormat="1">
      <c r="A87" s="6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70"/>
      <c r="O87" s="13"/>
      <c r="P87" s="154"/>
      <c r="Q87" s="154"/>
      <c r="R87" s="154"/>
      <c r="S87" s="154"/>
      <c r="T87" s="143"/>
      <c r="U87" s="154"/>
      <c r="V87" s="154"/>
      <c r="W87" s="154"/>
      <c r="X87" s="154"/>
      <c r="Y87" s="154"/>
      <c r="Z87" s="154"/>
      <c r="AA87" s="163"/>
      <c r="AB87" s="163"/>
    </row>
    <row r="88" s="12" customFormat="1">
      <c r="A88" s="6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70"/>
      <c r="O88" s="13"/>
      <c r="P88" s="154"/>
      <c r="Q88" s="154"/>
      <c r="R88" s="154"/>
      <c r="S88" s="154"/>
      <c r="T88" s="143"/>
      <c r="U88" s="154"/>
      <c r="V88" s="154"/>
      <c r="W88" s="154"/>
      <c r="X88" s="154"/>
      <c r="Y88" s="154"/>
      <c r="Z88" s="154"/>
      <c r="AA88" s="163"/>
      <c r="AB88" s="163"/>
    </row>
    <row r="89" s="12" customFormat="1">
      <c r="A89" s="6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70"/>
      <c r="O89" s="13"/>
      <c r="P89" s="154"/>
      <c r="Q89" s="154"/>
      <c r="R89" s="154"/>
      <c r="S89" s="154"/>
      <c r="T89" s="143"/>
      <c r="U89" s="154"/>
      <c r="V89" s="154"/>
      <c r="W89" s="154"/>
      <c r="X89" s="154"/>
      <c r="Y89" s="154"/>
      <c r="Z89" s="154"/>
      <c r="AA89" s="163"/>
      <c r="AB89" s="163"/>
    </row>
    <row r="90" s="12" customFormat="1">
      <c r="A90" s="6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70"/>
      <c r="O90" s="13"/>
      <c r="P90" s="154"/>
      <c r="Q90" s="154"/>
      <c r="R90" s="154"/>
      <c r="S90" s="154"/>
      <c r="T90" s="143"/>
      <c r="U90" s="154"/>
      <c r="V90" s="154"/>
      <c r="W90" s="154"/>
      <c r="X90" s="154"/>
      <c r="Y90" s="154"/>
      <c r="Z90" s="154"/>
      <c r="AA90" s="163"/>
      <c r="AB90" s="163"/>
    </row>
    <row r="91" s="12" customFormat="1">
      <c r="A91" s="6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70"/>
      <c r="O91" s="13"/>
      <c r="P91" s="154"/>
      <c r="Q91" s="154"/>
      <c r="R91" s="154"/>
      <c r="S91" s="154"/>
      <c r="T91" s="143"/>
      <c r="U91" s="154"/>
      <c r="V91" s="154"/>
      <c r="W91" s="154"/>
      <c r="X91" s="154"/>
      <c r="Y91" s="154"/>
      <c r="Z91" s="154"/>
      <c r="AA91" s="163"/>
      <c r="AB91" s="163"/>
    </row>
    <row r="92" s="12" customFormat="1">
      <c r="A92" s="6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70"/>
      <c r="O92" s="13"/>
      <c r="P92" s="154"/>
      <c r="Q92" s="154"/>
      <c r="R92" s="154"/>
      <c r="S92" s="154"/>
      <c r="T92" s="143"/>
      <c r="U92" s="154"/>
      <c r="V92" s="154"/>
      <c r="W92" s="154"/>
      <c r="X92" s="154"/>
      <c r="Y92" s="154"/>
      <c r="Z92" s="154"/>
      <c r="AA92" s="163"/>
      <c r="AB92" s="163"/>
    </row>
    <row r="93" s="12" customFormat="1">
      <c r="A93" s="6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70"/>
      <c r="O93" s="13"/>
      <c r="P93" s="154"/>
      <c r="Q93" s="154"/>
      <c r="R93" s="154"/>
      <c r="S93" s="154"/>
      <c r="T93" s="143"/>
      <c r="U93" s="154"/>
      <c r="V93" s="154"/>
      <c r="W93" s="154"/>
      <c r="X93" s="154"/>
      <c r="Y93" s="154"/>
      <c r="Z93" s="154"/>
      <c r="AA93" s="163"/>
      <c r="AB93" s="163"/>
    </row>
    <row r="94" s="12" customFormat="1">
      <c r="A94" s="7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72"/>
      <c r="O94" s="13"/>
      <c r="P94" s="154"/>
      <c r="Q94" s="154"/>
      <c r="R94" s="154"/>
      <c r="S94" s="154"/>
      <c r="T94" s="143"/>
      <c r="U94" s="154"/>
      <c r="V94" s="154"/>
      <c r="W94" s="154"/>
      <c r="X94" s="154"/>
      <c r="Y94" s="154"/>
      <c r="Z94" s="154"/>
      <c r="AA94" s="163"/>
      <c r="AB94" s="163"/>
    </row>
    <row r="96" s="12" customFormat="1">
      <c r="A96" s="731" t="str">
        <f>A3</f>
        <v>اسم العميل </v>
      </c>
      <c r="B96" s="732"/>
      <c r="C96" s="732"/>
      <c r="D96" s="73"/>
      <c r="E96" s="74">
        <f>D3</f>
        <v>0</v>
      </c>
      <c r="F96" s="73"/>
      <c r="G96" s="73"/>
      <c r="H96" s="73"/>
      <c r="I96" s="73"/>
      <c r="J96" s="73"/>
      <c r="K96" s="73"/>
      <c r="L96" s="73"/>
      <c r="M96" s="75"/>
      <c r="N96" s="76"/>
      <c r="O96" s="77"/>
      <c r="P96" s="142"/>
      <c r="Q96" s="142"/>
      <c r="R96" s="142"/>
      <c r="S96" s="154"/>
      <c r="T96" s="143"/>
      <c r="U96" s="154"/>
      <c r="V96" s="154"/>
      <c r="W96" s="154"/>
      <c r="X96" s="154"/>
      <c r="Y96" s="154"/>
      <c r="Z96" s="154"/>
      <c r="AA96" s="163"/>
      <c r="AB96" s="163"/>
    </row>
    <row r="97" s="12" customFormat="1">
      <c r="A97" s="78"/>
      <c r="B97" s="79"/>
      <c r="C97" s="79"/>
      <c r="D97" s="79"/>
      <c r="E97" s="80" t="str">
        <f>E8</f>
        <v>مقاس البي في سي </v>
      </c>
      <c r="F97" s="81"/>
      <c r="G97" s="81"/>
      <c r="H97" s="81"/>
      <c r="I97" s="82"/>
      <c r="J97" s="83"/>
      <c r="K97" s="79">
        <f>K8</f>
        <v>499</v>
      </c>
      <c r="L97" s="84" t="str">
        <f>M8</f>
        <v>Χ</v>
      </c>
      <c r="M97" s="733">
        <f>N8</f>
        <v>772</v>
      </c>
      <c r="N97" s="734"/>
      <c r="O97" s="84"/>
      <c r="P97" s="142"/>
      <c r="Q97" s="142"/>
      <c r="R97" s="142"/>
      <c r="S97" s="154"/>
      <c r="T97" s="143"/>
      <c r="U97" s="154"/>
      <c r="V97" s="154"/>
      <c r="W97" s="154"/>
      <c r="X97" s="154"/>
      <c r="Y97" s="154"/>
      <c r="Z97" s="154"/>
      <c r="AA97" s="163"/>
      <c r="AB97" s="163"/>
    </row>
    <row r="98" s="12" customFormat="1">
      <c r="A98" s="85"/>
      <c r="B98" s="86"/>
      <c r="C98" s="86"/>
      <c r="D98" s="86"/>
      <c r="E98" s="85" t="str">
        <f>L43</f>
        <v>لون البي في سي </v>
      </c>
      <c r="F98" s="86"/>
      <c r="G98" s="86"/>
      <c r="H98" s="86"/>
      <c r="I98" s="87"/>
      <c r="J98" s="735" t="str">
        <f>L44</f>
        <v>بيج  Ral 1013</v>
      </c>
      <c r="K98" s="736"/>
      <c r="L98" s="736"/>
      <c r="M98" s="736"/>
      <c r="N98" s="737"/>
      <c r="O98" s="84"/>
      <c r="P98" s="142"/>
      <c r="Q98" s="142"/>
      <c r="R98" s="142"/>
      <c r="S98" s="154"/>
      <c r="T98" s="143"/>
      <c r="U98" s="154"/>
      <c r="V98" s="154"/>
      <c r="W98" s="154"/>
      <c r="X98" s="154"/>
      <c r="Y98" s="154"/>
      <c r="Z98" s="154"/>
      <c r="AA98" s="163"/>
      <c r="AB98" s="163"/>
    </row>
  </sheetData>
  <sheetProtection selectLockedCells="1" selectUnlockedCells="1"/>
  <mergeCells>
    <mergeCell ref="A43:C43"/>
    <mergeCell ref="L43:N43"/>
    <mergeCell ref="L44:N44"/>
    <mergeCell ref="A96:C96"/>
    <mergeCell ref="M97:N97"/>
    <mergeCell ref="J98:N98"/>
    <mergeCell ref="B38:E38"/>
    <mergeCell ref="I38:L38"/>
    <mergeCell ref="AA39:AB40"/>
    <mergeCell ref="A40:C40"/>
    <mergeCell ref="A41:C42"/>
    <mergeCell ref="L41:N41"/>
    <mergeCell ref="AA41:AB41"/>
    <mergeCell ref="L42:N42"/>
    <mergeCell ref="B35:E35"/>
    <mergeCell ref="I35:L35"/>
    <mergeCell ref="B36:E36"/>
    <mergeCell ref="I36:L36"/>
    <mergeCell ref="B37:E37"/>
    <mergeCell ref="I37:L37"/>
    <mergeCell ref="B32:E32"/>
    <mergeCell ref="I32:L32"/>
    <mergeCell ref="B33:E33"/>
    <mergeCell ref="I33:L33"/>
    <mergeCell ref="B34:E34"/>
    <mergeCell ref="I34:L34"/>
    <mergeCell ref="B29:E29"/>
    <mergeCell ref="I29:L29"/>
    <mergeCell ref="B30:E30"/>
    <mergeCell ref="I30:L30"/>
    <mergeCell ref="B31:E31"/>
    <mergeCell ref="I31:L31"/>
    <mergeCell ref="B26:E26"/>
    <mergeCell ref="I26:L26"/>
    <mergeCell ref="B27:E27"/>
    <mergeCell ref="I27:L27"/>
    <mergeCell ref="B28:E28"/>
    <mergeCell ref="I28:L28"/>
    <mergeCell ref="A23:E23"/>
    <mergeCell ref="H23:L23"/>
    <mergeCell ref="B24:E24"/>
    <mergeCell ref="I24:L24"/>
    <mergeCell ref="B25:E25"/>
    <mergeCell ref="I25:L25"/>
    <mergeCell ref="L19:N19"/>
    <mergeCell ref="M20:N20"/>
    <mergeCell ref="A21:F21"/>
    <mergeCell ref="G21:H21"/>
    <mergeCell ref="I21:J21"/>
    <mergeCell ref="M21:N21"/>
    <mergeCell ref="A20:F20"/>
    <mergeCell ref="G20:H20"/>
    <mergeCell ref="I20:J20"/>
    <mergeCell ref="A18:F18"/>
    <mergeCell ref="G18:H18"/>
    <mergeCell ref="I18:J18"/>
    <mergeCell ref="A19:F19"/>
    <mergeCell ref="G19:H19"/>
    <mergeCell ref="I19:J19"/>
    <mergeCell ref="A16:F16"/>
    <mergeCell ref="G16:H16"/>
    <mergeCell ref="I16:J16"/>
    <mergeCell ref="L16:N16"/>
    <mergeCell ref="A17:F17"/>
    <mergeCell ref="G17:H17"/>
    <mergeCell ref="I17:J17"/>
    <mergeCell ref="L17:N17"/>
    <mergeCell ref="L13:N13"/>
    <mergeCell ref="A14:F14"/>
    <mergeCell ref="G14:H14"/>
    <mergeCell ref="I14:J14"/>
    <mergeCell ref="A15:F15"/>
    <mergeCell ref="G15:H15"/>
    <mergeCell ref="I15:J15"/>
    <mergeCell ref="A12:F12"/>
    <mergeCell ref="G12:H12"/>
    <mergeCell ref="I12:J12"/>
    <mergeCell ref="A13:F13"/>
    <mergeCell ref="G13:H13"/>
    <mergeCell ref="I13:J13"/>
    <mergeCell ref="A10:F10"/>
    <mergeCell ref="G10:H10"/>
    <mergeCell ref="I10:J10"/>
    <mergeCell ref="L10:N10"/>
    <mergeCell ref="A11:F11"/>
    <mergeCell ref="G11:H11"/>
    <mergeCell ref="I11:J11"/>
    <mergeCell ref="L11:N11"/>
    <mergeCell ref="A6:C8"/>
    <mergeCell ref="D6:D8"/>
    <mergeCell ref="E6:J6"/>
    <mergeCell ref="K6:L6"/>
    <mergeCell ref="E7:J7"/>
    <mergeCell ref="K7:M7"/>
    <mergeCell ref="E8:J8"/>
    <mergeCell ref="K8:L8"/>
    <mergeCell ref="A1:N1"/>
    <mergeCell ref="A3:C4"/>
    <mergeCell ref="D3:L4"/>
    <mergeCell ref="M3:N3"/>
    <mergeCell ref="M4:N4"/>
    <mergeCell ref="A5:C5"/>
    <mergeCell ref="D5:F5"/>
    <mergeCell ref="I5:K5"/>
    <mergeCell ref="L5:N5"/>
  </mergeCells>
  <pageMargins left="0.23622047244094491" right="0.23622047244094491" top="0.43307086614173229" bottom="0.39370078740157483" header="0.19685039370078741" footer="0.19685039370078741"/>
  <pageSetup paperSize="9" scale="93" orientation="portrait"/>
  <headerFooter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bestFit="1" width="15.85546875" customWidth="1" style="3"/>
    <col min="2" max="2" bestFit="1" width="18" customWidth="1" style="3"/>
    <col min="3" max="3" bestFit="1" width="17.28515625" customWidth="1" style="3"/>
    <col min="4" max="4" bestFit="1" width="14.7109375" customWidth="1" style="3"/>
    <col min="5" max="5" bestFit="1" width="15.85546875" customWidth="1" style="3"/>
    <col min="6" max="6" bestFit="1" width="10" customWidth="1" style="3"/>
    <col min="7" max="9" width="9.140625" customWidth="1" style="3"/>
    <col min="10" max="10" bestFit="1" width="7.42578125" customWidth="1" style="3"/>
    <col min="11" max="11" bestFit="1" width="9.5703125" customWidth="1" style="3"/>
    <col min="12" max="12" bestFit="1" width="11.7109375" customWidth="1" style="3"/>
    <col min="13" max="13" width="9.140625" customWidth="1" style="3"/>
    <col min="14" max="14" bestFit="1" width="23.28515625" customWidth="1" style="2"/>
    <col min="15" max="15" bestFit="1" width="22.28515625" customWidth="1" style="3"/>
    <col min="16" max="16" bestFit="1" width="13.7109375" customWidth="1" style="3"/>
    <col min="17" max="16384" width="9.140625" customWidth="1" style="3"/>
  </cols>
  <sheetData>
    <row r="1">
      <c r="A1" s="88" t="s">
        <v>268</v>
      </c>
      <c r="B1" s="88" t="s">
        <v>4</v>
      </c>
      <c r="C1" s="88" t="s">
        <v>6</v>
      </c>
      <c r="D1" s="88" t="s">
        <v>11</v>
      </c>
      <c r="E1" s="88" t="s">
        <v>12</v>
      </c>
      <c r="F1" s="88" t="s">
        <v>16</v>
      </c>
      <c r="G1" s="88" t="s">
        <v>21</v>
      </c>
      <c r="H1" s="88" t="s">
        <v>463</v>
      </c>
      <c r="I1" s="88" t="s">
        <v>18</v>
      </c>
      <c r="J1" s="757" t="s">
        <v>464</v>
      </c>
      <c r="K1" s="758"/>
      <c r="L1" s="758"/>
      <c r="M1" s="759"/>
      <c r="N1" s="88" t="s">
        <v>465</v>
      </c>
      <c r="O1" s="88" t="s">
        <v>18</v>
      </c>
      <c r="P1" s="88" t="s">
        <v>466</v>
      </c>
    </row>
    <row r="2">
      <c r="A2" s="89" t="s">
        <v>467</v>
      </c>
      <c r="B2" s="89" t="s">
        <v>468</v>
      </c>
      <c r="C2" s="89" t="s">
        <v>468</v>
      </c>
      <c r="D2" s="89" t="s">
        <v>469</v>
      </c>
      <c r="E2" s="89" t="s">
        <v>470</v>
      </c>
      <c r="F2" s="89" t="s">
        <v>471</v>
      </c>
      <c r="G2" s="89" t="s">
        <v>471</v>
      </c>
      <c r="H2" s="89" t="s">
        <v>471</v>
      </c>
      <c r="I2" s="89" t="s">
        <v>470</v>
      </c>
      <c r="J2" s="90" t="s">
        <v>32</v>
      </c>
      <c r="K2" s="2" t="s">
        <v>33</v>
      </c>
      <c r="L2" s="2" t="s">
        <v>472</v>
      </c>
      <c r="M2" s="91" t="s">
        <v>13</v>
      </c>
      <c r="N2" s="89" t="s">
        <v>473</v>
      </c>
      <c r="O2" s="89" t="s">
        <v>474</v>
      </c>
      <c r="P2" s="89" t="s">
        <v>471</v>
      </c>
    </row>
    <row r="3">
      <c r="A3" s="89" t="s">
        <v>475</v>
      </c>
      <c r="B3" s="89" t="s">
        <v>476</v>
      </c>
      <c r="C3" s="89" t="s">
        <v>476</v>
      </c>
      <c r="D3" s="89" t="s">
        <v>477</v>
      </c>
      <c r="E3" s="89" t="s">
        <v>478</v>
      </c>
      <c r="F3" s="89" t="s">
        <v>470</v>
      </c>
      <c r="G3" s="89" t="s">
        <v>470</v>
      </c>
      <c r="H3" s="89" t="s">
        <v>470</v>
      </c>
      <c r="I3" s="89" t="s">
        <v>479</v>
      </c>
      <c r="J3" s="69">
        <v>-2</v>
      </c>
      <c r="K3" s="3">
        <v>-5</v>
      </c>
      <c r="L3" s="3">
        <v>-5</v>
      </c>
      <c r="M3" s="91">
        <v>-2</v>
      </c>
      <c r="N3" s="89" t="s">
        <v>480</v>
      </c>
      <c r="O3" s="89" t="s">
        <v>481</v>
      </c>
      <c r="P3" s="89" t="s">
        <v>470</v>
      </c>
    </row>
    <row r="4">
      <c r="A4" s="89" t="s">
        <v>482</v>
      </c>
      <c r="B4" s="89" t="s">
        <v>483</v>
      </c>
      <c r="C4" s="89" t="s">
        <v>484</v>
      </c>
      <c r="D4" s="89">
        <v>1</v>
      </c>
      <c r="E4" s="89" t="s">
        <v>485</v>
      </c>
      <c r="F4" s="89">
        <v>1</v>
      </c>
      <c r="G4" s="89">
        <v>1</v>
      </c>
      <c r="H4" s="89">
        <v>2</v>
      </c>
      <c r="I4" s="89" t="s">
        <v>486</v>
      </c>
      <c r="J4" s="69">
        <v>-1</v>
      </c>
      <c r="K4" s="3">
        <v>-4</v>
      </c>
      <c r="L4" s="3">
        <v>-4</v>
      </c>
      <c r="M4" s="91">
        <v>-1</v>
      </c>
      <c r="N4" s="89" t="s">
        <v>487</v>
      </c>
      <c r="O4" s="89">
        <v>1</v>
      </c>
      <c r="P4" s="89" t="s">
        <v>488</v>
      </c>
    </row>
    <row r="5">
      <c r="A5" s="89" t="s">
        <v>489</v>
      </c>
      <c r="B5" s="89">
        <v>1</v>
      </c>
      <c r="C5" s="89" t="s">
        <v>490</v>
      </c>
      <c r="D5" s="89"/>
      <c r="E5" s="89" t="s">
        <v>491</v>
      </c>
      <c r="F5" s="89"/>
      <c r="G5" s="89"/>
      <c r="H5" s="89"/>
      <c r="I5" s="89">
        <v>2</v>
      </c>
      <c r="J5" s="69">
        <v>0</v>
      </c>
      <c r="K5" s="3">
        <v>-3</v>
      </c>
      <c r="L5" s="3">
        <v>-3</v>
      </c>
      <c r="M5" s="91">
        <v>0</v>
      </c>
      <c r="N5" s="89" t="s">
        <v>492</v>
      </c>
      <c r="O5" s="89"/>
      <c r="P5" s="89">
        <v>1</v>
      </c>
    </row>
    <row r="6">
      <c r="A6" s="89" t="s">
        <v>493</v>
      </c>
      <c r="B6" s="89"/>
      <c r="C6" s="89" t="s">
        <v>494</v>
      </c>
      <c r="D6" s="89"/>
      <c r="E6" s="89" t="s">
        <v>495</v>
      </c>
      <c r="F6" s="89"/>
      <c r="G6" s="89"/>
      <c r="H6" s="89"/>
      <c r="I6" s="89"/>
      <c r="J6" s="69">
        <v>1</v>
      </c>
      <c r="K6" s="3">
        <v>-2</v>
      </c>
      <c r="L6" s="3">
        <v>-2</v>
      </c>
      <c r="M6" s="91">
        <v>1</v>
      </c>
      <c r="N6" s="89" t="s">
        <v>496</v>
      </c>
      <c r="O6" s="89"/>
      <c r="P6" s="89"/>
    </row>
    <row r="7">
      <c r="A7" s="89">
        <v>2</v>
      </c>
      <c r="B7" s="89"/>
      <c r="C7" s="89" t="s">
        <v>483</v>
      </c>
      <c r="D7" s="89"/>
      <c r="E7" s="89" t="s">
        <v>497</v>
      </c>
      <c r="F7" s="89"/>
      <c r="G7" s="89"/>
      <c r="H7" s="89"/>
      <c r="I7" s="89"/>
      <c r="J7" s="69">
        <v>2</v>
      </c>
      <c r="K7" s="3">
        <v>-1</v>
      </c>
      <c r="L7" s="3">
        <v>-1</v>
      </c>
      <c r="M7" s="91">
        <v>2</v>
      </c>
      <c r="N7" s="89" t="s">
        <v>498</v>
      </c>
      <c r="O7" s="92"/>
      <c r="P7" s="89"/>
    </row>
    <row r="8">
      <c r="A8" s="89"/>
      <c r="B8" s="89"/>
      <c r="C8" s="89">
        <v>1</v>
      </c>
      <c r="D8" s="89"/>
      <c r="E8" s="89">
        <v>1</v>
      </c>
      <c r="F8" s="89"/>
      <c r="G8" s="89"/>
      <c r="H8" s="89"/>
      <c r="I8" s="89"/>
      <c r="J8" s="69">
        <v>3</v>
      </c>
      <c r="K8" s="3">
        <v>0</v>
      </c>
      <c r="L8" s="3">
        <v>0</v>
      </c>
      <c r="M8" s="91">
        <v>3</v>
      </c>
      <c r="N8" s="89">
        <v>1</v>
      </c>
      <c r="O8" s="92"/>
      <c r="P8" s="92"/>
    </row>
    <row r="9">
      <c r="A9" s="89"/>
      <c r="B9" s="89"/>
      <c r="C9" s="89"/>
      <c r="D9" s="89"/>
      <c r="E9" s="89"/>
      <c r="F9" s="89"/>
      <c r="G9" s="89"/>
      <c r="H9" s="89"/>
      <c r="I9" s="89"/>
      <c r="J9" s="69"/>
      <c r="K9" s="3">
        <v>1</v>
      </c>
      <c r="L9" s="3">
        <v>1</v>
      </c>
      <c r="M9" s="91"/>
      <c r="N9" s="89"/>
      <c r="O9" s="92"/>
      <c r="P9" s="92"/>
    </row>
    <row r="10">
      <c r="A10" s="89"/>
      <c r="B10" s="89"/>
      <c r="C10" s="89"/>
      <c r="D10" s="89"/>
      <c r="E10" s="89"/>
      <c r="F10" s="89"/>
      <c r="G10" s="89"/>
      <c r="H10" s="89"/>
      <c r="I10" s="89"/>
      <c r="J10" s="69"/>
      <c r="K10" s="3">
        <v>2</v>
      </c>
      <c r="L10" s="3">
        <v>2</v>
      </c>
      <c r="M10" s="91"/>
      <c r="N10" s="89"/>
      <c r="O10" s="92"/>
      <c r="P10" s="92"/>
    </row>
    <row r="11">
      <c r="A11" s="89"/>
      <c r="B11" s="89"/>
      <c r="C11" s="89"/>
      <c r="D11" s="89"/>
      <c r="E11" s="89"/>
      <c r="F11" s="89"/>
      <c r="G11" s="89"/>
      <c r="H11" s="89"/>
      <c r="I11" s="89"/>
      <c r="J11" s="69"/>
      <c r="K11" s="3">
        <v>3</v>
      </c>
      <c r="L11" s="3">
        <v>3</v>
      </c>
      <c r="M11" s="91"/>
      <c r="N11" s="89"/>
      <c r="O11" s="92"/>
      <c r="P11" s="92"/>
    </row>
    <row r="12">
      <c r="A12" s="89"/>
      <c r="B12" s="89"/>
      <c r="C12" s="89"/>
      <c r="D12" s="89"/>
      <c r="E12" s="89"/>
      <c r="F12" s="89"/>
      <c r="G12" s="89"/>
      <c r="H12" s="89"/>
      <c r="I12" s="89"/>
      <c r="J12" s="69"/>
      <c r="K12" s="3">
        <v>4</v>
      </c>
      <c r="L12" s="3">
        <v>4</v>
      </c>
      <c r="M12" s="91"/>
      <c r="N12" s="89"/>
      <c r="O12" s="92"/>
      <c r="P12" s="92"/>
    </row>
    <row r="13">
      <c r="A13" s="89"/>
      <c r="B13" s="89"/>
      <c r="C13" s="89"/>
      <c r="D13" s="89"/>
      <c r="E13" s="89"/>
      <c r="F13" s="89"/>
      <c r="G13" s="89"/>
      <c r="H13" s="89"/>
      <c r="I13" s="89"/>
      <c r="J13" s="69"/>
      <c r="K13" s="3">
        <v>5</v>
      </c>
      <c r="L13" s="3">
        <v>5</v>
      </c>
      <c r="M13" s="91"/>
      <c r="N13" s="89"/>
      <c r="O13" s="92"/>
      <c r="P13" s="92"/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69"/>
      <c r="K14" s="3">
        <v>6</v>
      </c>
      <c r="L14" s="3">
        <v>6</v>
      </c>
      <c r="M14" s="91"/>
      <c r="N14" s="89"/>
      <c r="O14" s="92"/>
      <c r="P14" s="92"/>
    </row>
    <row r="15">
      <c r="A15" s="93"/>
      <c r="B15" s="93"/>
      <c r="C15" s="93"/>
      <c r="D15" s="93"/>
      <c r="E15" s="93"/>
      <c r="F15" s="93"/>
      <c r="G15" s="93"/>
      <c r="H15" s="93"/>
      <c r="I15" s="93"/>
      <c r="J15" s="71"/>
      <c r="K15" s="62"/>
      <c r="L15" s="62"/>
      <c r="M15" s="94"/>
      <c r="N15" s="93"/>
      <c r="O15" s="95"/>
      <c r="P15" s="95"/>
    </row>
    <row r="16" ht="15.75">
      <c r="A16" s="2"/>
      <c r="B16" s="2"/>
      <c r="C16" s="2"/>
      <c r="D16" s="2"/>
      <c r="E16" s="2"/>
      <c r="F16" s="2"/>
      <c r="G16" s="2"/>
      <c r="H16" s="2"/>
      <c r="I16" s="2"/>
    </row>
    <row r="17">
      <c r="A17" s="96" t="s">
        <v>499</v>
      </c>
      <c r="B17" s="97" t="str">
        <f>IF(A7=1,A2,IF(A7=2,A3,IF(A7=3,A4,IF(A7=4,A5,IF(A7=5,A6,IF(A7=6,A7,IF(A7=7,A8,IF(A7=8,A9,IF(A7=9,A10,IF(A7=10,A11,IF(A7=11,A12,IF(A7=12,A13,A14))))))))))))</f>
        <v>EVO 150X70</v>
      </c>
      <c r="C17" s="760" t="s">
        <v>500</v>
      </c>
      <c r="D17" s="761"/>
      <c r="E17" s="761"/>
      <c r="F17" s="762"/>
      <c r="G17" s="2"/>
      <c r="H17" s="2"/>
      <c r="I17" s="2"/>
    </row>
    <row r="18">
      <c r="A18" s="98" t="s">
        <v>501</v>
      </c>
      <c r="B18" s="99">
        <f>تسجيل2!C7</f>
        <v>500</v>
      </c>
      <c r="C18" s="100" t="s">
        <v>502</v>
      </c>
      <c r="D18" s="100"/>
      <c r="E18" s="100"/>
      <c r="F18" s="101"/>
      <c r="G18" s="2"/>
      <c r="H18" s="2"/>
      <c r="I18" s="2"/>
    </row>
    <row r="19" ht="15.75">
      <c r="A19" s="102" t="s">
        <v>460</v>
      </c>
      <c r="B19" s="103">
        <f>'Format διαστασης οδηγου (2)'!F16</f>
        <v>800</v>
      </c>
      <c r="C19" s="104">
        <f>IF(B18&gt;2400,8,IF(B18&gt;2000,7,IF(B18&gt;1600,6,IF(B18&gt;1200,5,IF(B18&gt;800,4,IF(B18&gt;400,3,2))))))</f>
        <v>3</v>
      </c>
      <c r="D19" s="104"/>
      <c r="E19" s="104"/>
      <c r="F19" s="105"/>
      <c r="G19" s="2"/>
      <c r="H19" s="2"/>
      <c r="I19" s="2"/>
    </row>
    <row r="20">
      <c r="A20" s="2"/>
      <c r="B20" s="2"/>
      <c r="C20" s="2"/>
      <c r="D20" s="2"/>
      <c r="E20" s="2"/>
      <c r="F20" s="2"/>
      <c r="G20" s="2"/>
      <c r="H20" s="2"/>
      <c r="I20" s="2"/>
    </row>
    <row r="21">
      <c r="A21" s="2"/>
      <c r="B21" s="2"/>
      <c r="C21" s="2"/>
      <c r="D21" s="2"/>
      <c r="E21" s="2"/>
      <c r="F21" s="2"/>
      <c r="G21" s="2"/>
      <c r="H21" s="2"/>
      <c r="I21" s="2"/>
    </row>
    <row r="22">
      <c r="A22" s="2"/>
      <c r="B22" s="2"/>
      <c r="C22" s="2"/>
      <c r="D22" s="2"/>
      <c r="E22" s="2"/>
      <c r="F22" s="2"/>
      <c r="G22" s="2"/>
      <c r="H22" s="2"/>
      <c r="I22" s="2"/>
    </row>
    <row r="23">
      <c r="A23" s="2"/>
      <c r="B23" s="2"/>
      <c r="C23" s="2"/>
      <c r="D23" s="2"/>
      <c r="E23" s="2"/>
      <c r="F23" s="2"/>
      <c r="G23" s="2"/>
      <c r="H23" s="2"/>
      <c r="I23" s="2"/>
    </row>
    <row r="24">
      <c r="A24" s="2"/>
      <c r="B24" s="2"/>
      <c r="C24" s="2"/>
      <c r="D24" s="2"/>
      <c r="E24" s="2"/>
      <c r="F24" s="2"/>
      <c r="G24" s="2"/>
      <c r="H24" s="2"/>
      <c r="I24" s="2"/>
    </row>
    <row r="25">
      <c r="A25" s="2"/>
      <c r="B25" s="2"/>
      <c r="C25" s="2"/>
      <c r="D25" s="2"/>
      <c r="E25" s="2"/>
      <c r="F25" s="2"/>
      <c r="G25" s="2"/>
      <c r="H25" s="2"/>
      <c r="I25" s="2"/>
    </row>
    <row r="28" ht="15.75"/>
    <row r="29">
      <c r="A29" s="763" t="s">
        <v>503</v>
      </c>
      <c r="B29" s="764"/>
      <c r="C29" s="764"/>
      <c r="D29" s="764"/>
      <c r="E29" s="764"/>
      <c r="F29" s="764"/>
      <c r="G29" s="764"/>
      <c r="H29" s="765"/>
      <c r="I29" s="763" t="s">
        <v>504</v>
      </c>
      <c r="J29" s="764"/>
      <c r="K29" s="764"/>
      <c r="L29" s="764"/>
      <c r="M29" s="764"/>
      <c r="N29" s="764"/>
      <c r="O29" s="764"/>
      <c r="P29" s="765"/>
      <c r="Q29" s="763" t="s">
        <v>505</v>
      </c>
      <c r="R29" s="764"/>
      <c r="S29" s="764"/>
      <c r="T29" s="764"/>
      <c r="U29" s="764"/>
      <c r="V29" s="764"/>
      <c r="W29" s="764"/>
      <c r="X29" s="765"/>
    </row>
    <row r="30">
      <c r="A30" s="106"/>
      <c r="B30" s="107"/>
      <c r="C30" s="107"/>
      <c r="D30" s="107"/>
      <c r="E30" s="107"/>
      <c r="F30" s="107"/>
      <c r="G30" s="107"/>
      <c r="H30" s="108"/>
      <c r="I30" s="106"/>
      <c r="J30" s="107"/>
      <c r="K30" s="107"/>
      <c r="L30" s="107"/>
      <c r="M30" s="107"/>
      <c r="N30" s="9"/>
      <c r="O30" s="107"/>
      <c r="P30" s="108"/>
      <c r="Q30" s="106"/>
      <c r="R30" s="107"/>
      <c r="S30" s="107"/>
      <c r="T30" s="107"/>
      <c r="U30" s="107"/>
      <c r="V30" s="107"/>
      <c r="W30" s="107"/>
      <c r="X30" s="108"/>
    </row>
    <row r="31" ht="15.75">
      <c r="A31" s="751" t="s">
        <v>506</v>
      </c>
      <c r="B31" s="752"/>
      <c r="C31" s="109">
        <f>B19</f>
        <v>800</v>
      </c>
      <c r="D31" s="107" t="s">
        <v>507</v>
      </c>
      <c r="E31" s="109">
        <f>H34</f>
        <v>12</v>
      </c>
      <c r="F31" s="107"/>
      <c r="G31" s="107"/>
      <c r="H31" s="108"/>
      <c r="I31" s="751" t="s">
        <v>506</v>
      </c>
      <c r="J31" s="752"/>
      <c r="K31" s="109">
        <f>B19</f>
        <v>800</v>
      </c>
      <c r="L31" s="107" t="s">
        <v>507</v>
      </c>
      <c r="M31" s="109">
        <f>P34</f>
        <v>10</v>
      </c>
      <c r="N31" s="9"/>
      <c r="O31" s="107"/>
      <c r="P31" s="108"/>
      <c r="Q31" s="753" t="s">
        <v>506</v>
      </c>
      <c r="R31" s="754"/>
      <c r="S31" s="110">
        <f>B19</f>
        <v>800</v>
      </c>
      <c r="T31" s="111" t="s">
        <v>508</v>
      </c>
      <c r="U31" s="110">
        <f>INT((S31-4)/25)+1</f>
        <v>32</v>
      </c>
      <c r="V31" s="111"/>
      <c r="W31" s="111"/>
      <c r="X31" s="112"/>
    </row>
    <row r="32">
      <c r="A32" s="755" t="s">
        <v>507</v>
      </c>
      <c r="B32" s="756"/>
      <c r="C32" s="756"/>
      <c r="D32" s="107"/>
      <c r="E32" s="107"/>
      <c r="F32" s="113"/>
      <c r="G32" s="107"/>
      <c r="H32" s="108"/>
      <c r="I32" s="755" t="s">
        <v>509</v>
      </c>
      <c r="J32" s="756"/>
      <c r="K32" s="756"/>
      <c r="L32" s="107"/>
      <c r="M32" s="107"/>
      <c r="N32" s="114"/>
      <c r="O32" s="107"/>
      <c r="P32" s="108"/>
    </row>
    <row r="33">
      <c r="A33" s="115" t="s">
        <v>510</v>
      </c>
      <c r="B33" s="116" t="s">
        <v>511</v>
      </c>
      <c r="C33" s="116" t="s">
        <v>512</v>
      </c>
      <c r="D33" s="107"/>
      <c r="E33" s="116" t="s">
        <v>510</v>
      </c>
      <c r="F33" s="116" t="s">
        <v>511</v>
      </c>
      <c r="G33" s="116" t="s">
        <v>512</v>
      </c>
      <c r="H33" s="108"/>
      <c r="I33" s="115" t="s">
        <v>510</v>
      </c>
      <c r="J33" s="116" t="s">
        <v>511</v>
      </c>
      <c r="K33" s="116" t="s">
        <v>512</v>
      </c>
      <c r="L33" s="107"/>
      <c r="M33" s="116" t="s">
        <v>510</v>
      </c>
      <c r="N33" s="117" t="s">
        <v>511</v>
      </c>
      <c r="O33" s="116" t="s">
        <v>512</v>
      </c>
      <c r="P33" s="108"/>
    </row>
    <row r="34">
      <c r="A34" s="106">
        <v>1</v>
      </c>
      <c r="B34" s="118">
        <v>0</v>
      </c>
      <c r="C34" s="118">
        <v>152</v>
      </c>
      <c r="D34" s="118">
        <f>C34+1</f>
        <v>153</v>
      </c>
      <c r="E34" s="107" t="s">
        <v>513</v>
      </c>
      <c r="F34" s="118">
        <f>B34</f>
        <v>0</v>
      </c>
      <c r="G34" s="118">
        <f>C38</f>
        <v>402</v>
      </c>
      <c r="H34" s="119">
        <f>IF(C31&lt;D34,A34,IF(C31&lt;D35,A35,IF(C31&lt;D36,A36,IF(C31&lt;D37,A37,IF(C31&lt;D38,A38,H39)))))</f>
        <v>12</v>
      </c>
      <c r="I34" s="106">
        <v>1</v>
      </c>
      <c r="J34" s="118">
        <v>0</v>
      </c>
      <c r="K34" s="118">
        <v>168</v>
      </c>
      <c r="L34" s="118">
        <f>K34+1</f>
        <v>169</v>
      </c>
      <c r="M34" s="107" t="s">
        <v>513</v>
      </c>
      <c r="N34" s="120">
        <f>J34</f>
        <v>0</v>
      </c>
      <c r="O34" s="118">
        <f>K38</f>
        <v>460</v>
      </c>
      <c r="P34" s="119">
        <f>IF(K31&lt;L34,I34,IF(K31&lt;L35,I35,IF(K31&lt;L36,I36,IF(K31&lt;L37,I37,IF(K31&lt;L38,I38,P39)))))</f>
        <v>10</v>
      </c>
    </row>
    <row r="35">
      <c r="A35" s="115">
        <v>2</v>
      </c>
      <c r="B35" s="121">
        <f>C34+1</f>
        <v>153</v>
      </c>
      <c r="C35" s="121">
        <v>215</v>
      </c>
      <c r="D35" s="118">
        <f ref="D35:D52" t="shared" si="0">C35+1</f>
        <v>216</v>
      </c>
      <c r="E35" s="107"/>
      <c r="F35" s="107"/>
      <c r="G35" s="107"/>
      <c r="H35" s="119"/>
      <c r="I35" s="115">
        <v>2</v>
      </c>
      <c r="J35" s="121">
        <f>K34+1</f>
        <v>169</v>
      </c>
      <c r="K35" s="121">
        <v>241</v>
      </c>
      <c r="L35" s="118">
        <f ref="L35:L52" t="shared" si="1">K35+1</f>
        <v>242</v>
      </c>
      <c r="M35" s="107"/>
      <c r="N35" s="9"/>
      <c r="O35" s="107"/>
      <c r="P35" s="119"/>
    </row>
    <row r="36">
      <c r="A36" s="106">
        <v>3</v>
      </c>
      <c r="B36" s="121">
        <f ref="B36:B52" t="shared" si="2">C35+1</f>
        <v>216</v>
      </c>
      <c r="C36" s="118">
        <v>277</v>
      </c>
      <c r="D36" s="118">
        <f t="shared" si="0"/>
        <v>278</v>
      </c>
      <c r="E36" s="107"/>
      <c r="F36" s="107"/>
      <c r="G36" s="107"/>
      <c r="H36" s="119"/>
      <c r="I36" s="106">
        <v>3</v>
      </c>
      <c r="J36" s="121">
        <f ref="J36:J52" t="shared" si="3">K35+1</f>
        <v>242</v>
      </c>
      <c r="K36" s="118">
        <v>314</v>
      </c>
      <c r="L36" s="118">
        <f t="shared" si="1"/>
        <v>315</v>
      </c>
      <c r="M36" s="107"/>
      <c r="N36" s="9"/>
      <c r="O36" s="107"/>
      <c r="P36" s="119"/>
    </row>
    <row r="37">
      <c r="A37" s="115">
        <v>4</v>
      </c>
      <c r="B37" s="121">
        <f t="shared" si="2"/>
        <v>278</v>
      </c>
      <c r="C37" s="118">
        <v>339</v>
      </c>
      <c r="D37" s="118">
        <f t="shared" si="0"/>
        <v>340</v>
      </c>
      <c r="E37" s="107"/>
      <c r="F37" s="107"/>
      <c r="G37" s="107"/>
      <c r="H37" s="119"/>
      <c r="I37" s="115">
        <v>4</v>
      </c>
      <c r="J37" s="121">
        <f t="shared" si="3"/>
        <v>315</v>
      </c>
      <c r="K37" s="118">
        <v>387</v>
      </c>
      <c r="L37" s="118">
        <f t="shared" si="1"/>
        <v>388</v>
      </c>
      <c r="M37" s="107"/>
      <c r="N37" s="9"/>
      <c r="O37" s="107"/>
      <c r="P37" s="119"/>
    </row>
    <row r="38">
      <c r="A38" s="106">
        <v>5</v>
      </c>
      <c r="B38" s="121">
        <f t="shared" si="2"/>
        <v>340</v>
      </c>
      <c r="C38" s="121">
        <v>402</v>
      </c>
      <c r="D38" s="118">
        <f t="shared" si="0"/>
        <v>403</v>
      </c>
      <c r="E38" s="107"/>
      <c r="F38" s="107"/>
      <c r="G38" s="107"/>
      <c r="H38" s="119"/>
      <c r="I38" s="106">
        <v>5</v>
      </c>
      <c r="J38" s="121">
        <f t="shared" si="3"/>
        <v>388</v>
      </c>
      <c r="K38" s="121">
        <v>460</v>
      </c>
      <c r="L38" s="118">
        <f t="shared" si="1"/>
        <v>461</v>
      </c>
      <c r="M38" s="107"/>
      <c r="N38" s="9"/>
      <c r="O38" s="107"/>
      <c r="P38" s="119"/>
    </row>
    <row r="39">
      <c r="A39" s="115">
        <v>6</v>
      </c>
      <c r="B39" s="121">
        <f t="shared" si="2"/>
        <v>403</v>
      </c>
      <c r="C39" s="118">
        <v>464</v>
      </c>
      <c r="D39" s="118">
        <f t="shared" si="0"/>
        <v>465</v>
      </c>
      <c r="E39" s="116" t="s">
        <v>514</v>
      </c>
      <c r="F39" s="118">
        <f>B39</f>
        <v>403</v>
      </c>
      <c r="G39" s="118">
        <f>C43</f>
        <v>713</v>
      </c>
      <c r="H39" s="119">
        <f>IF(C31&lt;D39,A39,IF(C31&lt;D40,A40,IF(C31&lt;D41,A41,IF(C31&lt;D42,A42,IF(C31&lt;D43,A43,H44)))))</f>
        <v>12</v>
      </c>
      <c r="I39" s="115">
        <v>6</v>
      </c>
      <c r="J39" s="121">
        <f t="shared" si="3"/>
        <v>461</v>
      </c>
      <c r="K39" s="118">
        <v>533</v>
      </c>
      <c r="L39" s="118">
        <f t="shared" si="1"/>
        <v>534</v>
      </c>
      <c r="M39" s="116" t="s">
        <v>514</v>
      </c>
      <c r="N39" s="120">
        <f>J39</f>
        <v>461</v>
      </c>
      <c r="O39" s="118">
        <f>K43</f>
        <v>825</v>
      </c>
      <c r="P39" s="119">
        <f>IF(K31&lt;L39,I39,IF(K31&lt;L40,I40,IF(K31&lt;L41,I41,IF(K31&lt;L42,I42,IF(K31&lt;L43,I43,P44)))))</f>
        <v>10</v>
      </c>
    </row>
    <row r="40">
      <c r="A40" s="106">
        <v>7</v>
      </c>
      <c r="B40" s="121">
        <f t="shared" si="2"/>
        <v>465</v>
      </c>
      <c r="C40" s="118">
        <v>527</v>
      </c>
      <c r="D40" s="118">
        <f t="shared" si="0"/>
        <v>528</v>
      </c>
      <c r="E40" s="107"/>
      <c r="F40" s="107"/>
      <c r="G40" s="107"/>
      <c r="H40" s="119"/>
      <c r="I40" s="106">
        <v>7</v>
      </c>
      <c r="J40" s="121">
        <f t="shared" si="3"/>
        <v>534</v>
      </c>
      <c r="K40" s="118">
        <v>606</v>
      </c>
      <c r="L40" s="118">
        <f t="shared" si="1"/>
        <v>607</v>
      </c>
      <c r="M40" s="107"/>
      <c r="N40" s="9"/>
      <c r="O40" s="107"/>
      <c r="P40" s="119"/>
    </row>
    <row r="41">
      <c r="A41" s="115">
        <v>8</v>
      </c>
      <c r="B41" s="121">
        <f t="shared" si="2"/>
        <v>528</v>
      </c>
      <c r="C41" s="121">
        <v>589</v>
      </c>
      <c r="D41" s="118">
        <f t="shared" si="0"/>
        <v>590</v>
      </c>
      <c r="E41" s="107"/>
      <c r="F41" s="107"/>
      <c r="G41" s="107"/>
      <c r="H41" s="119"/>
      <c r="I41" s="115">
        <v>8</v>
      </c>
      <c r="J41" s="121">
        <f t="shared" si="3"/>
        <v>607</v>
      </c>
      <c r="K41" s="121">
        <v>679</v>
      </c>
      <c r="L41" s="118">
        <f t="shared" si="1"/>
        <v>680</v>
      </c>
      <c r="M41" s="107"/>
      <c r="N41" s="9"/>
      <c r="O41" s="107"/>
      <c r="P41" s="119"/>
    </row>
    <row r="42">
      <c r="A42" s="106">
        <v>9</v>
      </c>
      <c r="B42" s="121">
        <f t="shared" si="2"/>
        <v>590</v>
      </c>
      <c r="C42" s="118">
        <v>651</v>
      </c>
      <c r="D42" s="118">
        <f t="shared" si="0"/>
        <v>652</v>
      </c>
      <c r="E42" s="107"/>
      <c r="F42" s="107"/>
      <c r="G42" s="107"/>
      <c r="H42" s="119"/>
      <c r="I42" s="106">
        <v>9</v>
      </c>
      <c r="J42" s="121">
        <f t="shared" si="3"/>
        <v>680</v>
      </c>
      <c r="K42" s="118">
        <v>752</v>
      </c>
      <c r="L42" s="118">
        <f t="shared" si="1"/>
        <v>753</v>
      </c>
      <c r="M42" s="107"/>
      <c r="N42" s="9"/>
      <c r="O42" s="107"/>
      <c r="P42" s="119"/>
    </row>
    <row r="43">
      <c r="A43" s="115">
        <v>10</v>
      </c>
      <c r="B43" s="121">
        <f t="shared" si="2"/>
        <v>652</v>
      </c>
      <c r="C43" s="118">
        <v>713</v>
      </c>
      <c r="D43" s="118">
        <f t="shared" si="0"/>
        <v>714</v>
      </c>
      <c r="E43" s="107"/>
      <c r="F43" s="107"/>
      <c r="G43" s="107"/>
      <c r="H43" s="119"/>
      <c r="I43" s="115">
        <v>10</v>
      </c>
      <c r="J43" s="121">
        <f t="shared" si="3"/>
        <v>753</v>
      </c>
      <c r="K43" s="118">
        <v>825</v>
      </c>
      <c r="L43" s="118">
        <f t="shared" si="1"/>
        <v>826</v>
      </c>
      <c r="M43" s="107"/>
      <c r="N43" s="9"/>
      <c r="O43" s="107"/>
      <c r="P43" s="119"/>
    </row>
    <row r="44">
      <c r="A44" s="106">
        <v>11</v>
      </c>
      <c r="B44" s="121">
        <f t="shared" si="2"/>
        <v>714</v>
      </c>
      <c r="C44" s="121">
        <v>776</v>
      </c>
      <c r="D44" s="118">
        <f t="shared" si="0"/>
        <v>777</v>
      </c>
      <c r="E44" s="107" t="s">
        <v>515</v>
      </c>
      <c r="F44" s="118">
        <f>B44</f>
        <v>714</v>
      </c>
      <c r="G44" s="118">
        <f>C47</f>
        <v>963</v>
      </c>
      <c r="H44" s="119">
        <f>IF(C31&lt;D44,A44,IF(C31&lt;D45,A45,IF(C31&lt;D46,A46,IF(C31&lt;D47,A47,H48))))</f>
        <v>12</v>
      </c>
      <c r="I44" s="106">
        <v>11</v>
      </c>
      <c r="J44" s="121">
        <f t="shared" si="3"/>
        <v>826</v>
      </c>
      <c r="K44" s="121">
        <v>898</v>
      </c>
      <c r="L44" s="118">
        <f t="shared" si="1"/>
        <v>899</v>
      </c>
      <c r="M44" s="107" t="s">
        <v>515</v>
      </c>
      <c r="N44" s="120">
        <f>J44</f>
        <v>826</v>
      </c>
      <c r="O44" s="118">
        <f>K47</f>
        <v>1117</v>
      </c>
      <c r="P44" s="119">
        <f>IF(K31&lt;L44,I44,IF(K31&lt;L45,I45,IF(K31&lt;L46,I46,IF(K31&lt;L47,I47,P48))))</f>
        <v>11</v>
      </c>
    </row>
    <row r="45">
      <c r="A45" s="115">
        <v>12</v>
      </c>
      <c r="B45" s="121">
        <f t="shared" si="2"/>
        <v>777</v>
      </c>
      <c r="C45" s="118">
        <v>837</v>
      </c>
      <c r="D45" s="118">
        <f t="shared" si="0"/>
        <v>838</v>
      </c>
      <c r="E45" s="107"/>
      <c r="F45" s="107"/>
      <c r="G45" s="107"/>
      <c r="H45" s="119"/>
      <c r="I45" s="115">
        <v>12</v>
      </c>
      <c r="J45" s="121">
        <f t="shared" si="3"/>
        <v>899</v>
      </c>
      <c r="K45" s="118">
        <v>971</v>
      </c>
      <c r="L45" s="118">
        <f t="shared" si="1"/>
        <v>972</v>
      </c>
      <c r="M45" s="107"/>
      <c r="N45" s="9"/>
      <c r="O45" s="107"/>
      <c r="P45" s="119"/>
    </row>
    <row r="46">
      <c r="A46" s="106">
        <v>13</v>
      </c>
      <c r="B46" s="121">
        <f t="shared" si="2"/>
        <v>838</v>
      </c>
      <c r="C46" s="118">
        <v>900</v>
      </c>
      <c r="D46" s="118">
        <f t="shared" si="0"/>
        <v>901</v>
      </c>
      <c r="E46" s="107"/>
      <c r="F46" s="107"/>
      <c r="G46" s="107"/>
      <c r="H46" s="119"/>
      <c r="I46" s="106">
        <v>13</v>
      </c>
      <c r="J46" s="121">
        <f t="shared" si="3"/>
        <v>972</v>
      </c>
      <c r="K46" s="118">
        <v>1044</v>
      </c>
      <c r="L46" s="118">
        <f t="shared" si="1"/>
        <v>1045</v>
      </c>
      <c r="M46" s="107"/>
      <c r="N46" s="9"/>
      <c r="O46" s="107"/>
      <c r="P46" s="119"/>
    </row>
    <row r="47">
      <c r="A47" s="115">
        <v>14</v>
      </c>
      <c r="B47" s="121">
        <f t="shared" si="2"/>
        <v>901</v>
      </c>
      <c r="C47" s="121">
        <v>963</v>
      </c>
      <c r="D47" s="118">
        <f t="shared" si="0"/>
        <v>964</v>
      </c>
      <c r="E47" s="107"/>
      <c r="F47" s="107"/>
      <c r="G47" s="107"/>
      <c r="H47" s="119"/>
      <c r="I47" s="115">
        <v>14</v>
      </c>
      <c r="J47" s="121">
        <f t="shared" si="3"/>
        <v>1045</v>
      </c>
      <c r="K47" s="121">
        <v>1117</v>
      </c>
      <c r="L47" s="118">
        <f t="shared" si="1"/>
        <v>1118</v>
      </c>
      <c r="M47" s="107"/>
      <c r="N47" s="9"/>
      <c r="O47" s="107"/>
      <c r="P47" s="119"/>
    </row>
    <row r="48">
      <c r="A48" s="106">
        <v>15</v>
      </c>
      <c r="B48" s="121">
        <f t="shared" si="2"/>
        <v>964</v>
      </c>
      <c r="C48" s="118">
        <v>1025</v>
      </c>
      <c r="D48" s="118">
        <f t="shared" si="0"/>
        <v>1026</v>
      </c>
      <c r="E48" s="107" t="s">
        <v>516</v>
      </c>
      <c r="F48" s="118">
        <f>B48</f>
        <v>964</v>
      </c>
      <c r="G48" s="118">
        <f>C52</f>
        <v>1270</v>
      </c>
      <c r="H48" s="119">
        <f>IF(C31&lt;D48,A48,IF(C31&lt;D49,A49,IF(C31&lt;D50,A50,IF(C31&lt;D51,A51,H52))))</f>
        <v>15</v>
      </c>
      <c r="I48" s="106">
        <v>15</v>
      </c>
      <c r="J48" s="121">
        <f t="shared" si="3"/>
        <v>1118</v>
      </c>
      <c r="K48" s="118">
        <v>1190</v>
      </c>
      <c r="L48" s="118">
        <f t="shared" si="1"/>
        <v>1191</v>
      </c>
      <c r="M48" s="107" t="s">
        <v>516</v>
      </c>
      <c r="N48" s="120">
        <f>J48</f>
        <v>1118</v>
      </c>
      <c r="O48" s="118">
        <f>K52</f>
        <v>1269</v>
      </c>
      <c r="P48" s="119">
        <f>IF(K31&lt;L48,I48,IF(K31&lt;L49,I49,IF(K31&lt;L50,I50,IF(K31&lt;L51,I51,P52))))</f>
        <v>15</v>
      </c>
    </row>
    <row r="49">
      <c r="A49" s="115">
        <v>16</v>
      </c>
      <c r="B49" s="121">
        <f t="shared" si="2"/>
        <v>1026</v>
      </c>
      <c r="C49" s="118">
        <v>1087</v>
      </c>
      <c r="D49" s="118">
        <f t="shared" si="0"/>
        <v>1088</v>
      </c>
      <c r="E49" s="107"/>
      <c r="F49" s="107"/>
      <c r="G49" s="107"/>
      <c r="H49" s="119"/>
      <c r="I49" s="115">
        <v>16</v>
      </c>
      <c r="J49" s="121">
        <f t="shared" si="3"/>
        <v>1191</v>
      </c>
      <c r="K49" s="118">
        <v>1263</v>
      </c>
      <c r="L49" s="118">
        <f t="shared" si="1"/>
        <v>1264</v>
      </c>
      <c r="M49" s="107"/>
      <c r="N49" s="9"/>
      <c r="O49" s="107"/>
      <c r="P49" s="119"/>
    </row>
    <row r="50">
      <c r="A50" s="106">
        <v>17</v>
      </c>
      <c r="B50" s="121">
        <f t="shared" si="2"/>
        <v>1088</v>
      </c>
      <c r="C50" s="121">
        <v>1145</v>
      </c>
      <c r="D50" s="118">
        <f t="shared" si="0"/>
        <v>1146</v>
      </c>
      <c r="E50" s="107"/>
      <c r="F50" s="107"/>
      <c r="G50" s="107"/>
      <c r="H50" s="119"/>
      <c r="I50" s="106">
        <v>17</v>
      </c>
      <c r="J50" s="121">
        <f t="shared" si="3"/>
        <v>1264</v>
      </c>
      <c r="K50" s="121">
        <v>1265</v>
      </c>
      <c r="L50" s="118">
        <f t="shared" si="1"/>
        <v>1266</v>
      </c>
      <c r="M50" s="107"/>
      <c r="N50" s="9"/>
      <c r="O50" s="107"/>
      <c r="P50" s="119"/>
    </row>
    <row r="51">
      <c r="A51" s="106">
        <v>18</v>
      </c>
      <c r="B51" s="121">
        <f t="shared" si="2"/>
        <v>1146</v>
      </c>
      <c r="C51" s="121">
        <v>1210</v>
      </c>
      <c r="D51" s="118">
        <f t="shared" si="0"/>
        <v>1211</v>
      </c>
      <c r="E51" s="107"/>
      <c r="F51" s="107"/>
      <c r="G51" s="107"/>
      <c r="H51" s="108"/>
      <c r="I51" s="106">
        <v>18</v>
      </c>
      <c r="J51" s="121">
        <f t="shared" si="3"/>
        <v>1266</v>
      </c>
      <c r="K51" s="121">
        <v>1267</v>
      </c>
      <c r="L51" s="118">
        <f t="shared" si="1"/>
        <v>1268</v>
      </c>
      <c r="M51" s="107"/>
      <c r="N51" s="9"/>
      <c r="O51" s="107"/>
      <c r="P51" s="108"/>
    </row>
    <row r="52" ht="15.75">
      <c r="A52" s="122">
        <v>19</v>
      </c>
      <c r="B52" s="123">
        <f t="shared" si="2"/>
        <v>1211</v>
      </c>
      <c r="C52" s="123">
        <v>1270</v>
      </c>
      <c r="D52" s="124">
        <f t="shared" si="0"/>
        <v>1271</v>
      </c>
      <c r="E52" s="111"/>
      <c r="F52" s="111"/>
      <c r="G52" s="111"/>
      <c r="H52" s="112" t="s">
        <v>517</v>
      </c>
      <c r="I52" s="122">
        <v>19</v>
      </c>
      <c r="J52" s="123">
        <f t="shared" si="3"/>
        <v>1268</v>
      </c>
      <c r="K52" s="123">
        <v>1269</v>
      </c>
      <c r="L52" s="124">
        <f t="shared" si="1"/>
        <v>1270</v>
      </c>
      <c r="M52" s="111"/>
      <c r="N52" s="125"/>
      <c r="O52" s="111"/>
      <c r="P52" s="112" t="s">
        <v>517</v>
      </c>
    </row>
    <row r="53">
      <c r="A53" s="107"/>
      <c r="B53" s="107"/>
      <c r="C53" s="107"/>
      <c r="D53" s="107"/>
      <c r="E53" s="107"/>
      <c r="F53" s="107"/>
      <c r="G53" s="107"/>
      <c r="H53" s="107"/>
    </row>
    <row r="54">
      <c r="A54" s="107"/>
      <c r="B54" s="107"/>
      <c r="C54" s="107"/>
      <c r="D54" s="107"/>
      <c r="E54" s="107"/>
      <c r="F54" s="107"/>
      <c r="G54" s="107"/>
      <c r="H54" s="107"/>
    </row>
    <row r="79">
      <c r="A79" s="107"/>
      <c r="B79" s="107"/>
      <c r="C79" s="107"/>
      <c r="D79" s="107"/>
      <c r="E79" s="107"/>
      <c r="F79" s="107"/>
      <c r="G79" s="107"/>
      <c r="H79" s="107"/>
    </row>
    <row r="80">
      <c r="A80" s="107"/>
      <c r="B80" s="107"/>
      <c r="C80" s="107"/>
      <c r="D80" s="107"/>
      <c r="E80" s="107"/>
      <c r="F80" s="107"/>
      <c r="G80" s="107"/>
      <c r="H80" s="107"/>
    </row>
    <row r="82">
      <c r="A82" s="107"/>
      <c r="B82" s="107"/>
      <c r="C82" s="107"/>
      <c r="D82" s="107"/>
      <c r="E82" s="107"/>
      <c r="F82" s="107"/>
      <c r="G82" s="107"/>
      <c r="H82" s="107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3"/>
    <col min="3" max="3" bestFit="1" width="25.85546875" customWidth="1" style="3"/>
    <col min="4" max="4" width="11.42578125" customWidth="1" style="2"/>
    <col min="5" max="5" width="11.7109375" customWidth="1" style="2"/>
    <col min="6" max="6" width="12" customWidth="1" style="2"/>
    <col min="7" max="7" width="10.5703125" customWidth="1" style="2"/>
    <col min="8" max="9" width="9.140625" customWidth="1" style="3"/>
    <col min="10" max="10" bestFit="1" width="12" customWidth="1" style="3"/>
    <col min="11" max="11" width="9.140625" customWidth="1" style="2"/>
    <col min="12" max="16384" width="9.140625" customWidth="1" style="3"/>
  </cols>
  <sheetData>
    <row r="1">
      <c r="A1" s="766" t="s">
        <v>446</v>
      </c>
      <c r="B1" s="767"/>
      <c r="C1" s="67"/>
      <c r="D1" s="126" t="s">
        <v>447</v>
      </c>
      <c r="E1" s="126" t="s">
        <v>448</v>
      </c>
      <c r="F1" s="126" t="s">
        <v>449</v>
      </c>
      <c r="G1" s="126" t="s">
        <v>450</v>
      </c>
      <c r="H1" s="127" t="s">
        <v>451</v>
      </c>
    </row>
    <row r="2">
      <c r="A2" s="768"/>
      <c r="B2" s="769"/>
      <c r="C2" s="3" t="s">
        <v>452</v>
      </c>
      <c r="D2" s="2">
        <f>تسجيل2!E7</f>
        <v>800</v>
      </c>
      <c r="E2" s="2">
        <f>تسجيل2!E7</f>
        <v>800</v>
      </c>
      <c r="F2" s="2">
        <f>تسجيل2!E7</f>
        <v>800</v>
      </c>
      <c r="G2" s="2">
        <f>تسجيل2!E7</f>
        <v>800</v>
      </c>
      <c r="H2" s="128">
        <f>تسجيل2!E7</f>
        <v>800</v>
      </c>
    </row>
    <row r="3">
      <c r="A3" s="768"/>
      <c r="B3" s="769"/>
      <c r="C3" s="3" t="s">
        <v>453</v>
      </c>
      <c r="D3" s="2">
        <f>IF(تسجيل2!R25=0,0,تسجيل2!R25)</f>
        <v>0</v>
      </c>
      <c r="E3" s="2">
        <f>IF(تسجيل2!R25=0,0,تسجيل2!R25)</f>
        <v>0</v>
      </c>
      <c r="F3" s="2">
        <f>IF(تسجيل2!R25=0,0,تسجيل2!R25)</f>
        <v>0</v>
      </c>
      <c r="G3" s="2">
        <f>IF(تسجيل2!R25=0,0,تسجيل2!R25)</f>
        <v>0</v>
      </c>
      <c r="H3" s="128">
        <f>IF(تسجيل2!R25=0,0,تسجيل2!R25)</f>
        <v>0</v>
      </c>
    </row>
    <row r="4">
      <c r="A4" s="768"/>
      <c r="B4" s="769"/>
      <c r="C4" s="3" t="s">
        <v>454</v>
      </c>
      <c r="D4" s="2">
        <v>8</v>
      </c>
      <c r="E4" s="2">
        <v>14</v>
      </c>
      <c r="F4" s="2">
        <v>12</v>
      </c>
      <c r="G4" s="2">
        <v>10</v>
      </c>
      <c r="H4" s="128">
        <f>تسجيل2!M29</f>
        <v>0</v>
      </c>
    </row>
    <row r="5">
      <c r="A5" s="768"/>
      <c r="B5" s="769"/>
      <c r="H5" s="91"/>
      <c r="K5" s="2" t="s">
        <v>269</v>
      </c>
      <c r="L5" s="3" t="s">
        <v>455</v>
      </c>
    </row>
    <row r="6">
      <c r="A6" s="768"/>
      <c r="B6" s="769"/>
      <c r="C6" s="3" t="s">
        <v>456</v>
      </c>
      <c r="D6" s="2">
        <f>IF(D3=0,D2,D2-D3-D4+10)</f>
        <v>800</v>
      </c>
      <c r="E6" s="2">
        <f>IF(E3=0,E2,E2-E3-E4+10)</f>
        <v>800</v>
      </c>
      <c r="F6" s="2">
        <f>IF(F3=0,F2,F2-F3-F4+10)</f>
        <v>800</v>
      </c>
      <c r="G6" s="2">
        <f>IF(G3=0,G2,G2-G3-G4+10)</f>
        <v>800</v>
      </c>
      <c r="H6" s="128">
        <f>IF(H3=0,H2,H2-H3-H4+10)</f>
        <v>800</v>
      </c>
      <c r="J6" s="3" t="s">
        <v>457</v>
      </c>
      <c r="K6" s="2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3">
        <f>IF('Format (2)'!E8=1,تسجيل2!E7-30,IF('Format (2)'!E8=2,D7,IF('Format (2)'!E8=3,E7,IF('Format (2)'!E8=4,F7,IF('Format (2)'!E8=5,G7,IF('Format (2)'!E8=6,H7,"-----"))))))</f>
        <v>770</v>
      </c>
    </row>
    <row r="7">
      <c r="A7" s="770"/>
      <c r="B7" s="771"/>
      <c r="C7" s="62" t="s">
        <v>458</v>
      </c>
      <c r="D7" s="129">
        <f>D6-30</f>
        <v>770</v>
      </c>
      <c r="E7" s="129">
        <f>E6-17</f>
        <v>783</v>
      </c>
      <c r="F7" s="129">
        <f>F6-30</f>
        <v>770</v>
      </c>
      <c r="G7" s="129">
        <f>G6-17</f>
        <v>783</v>
      </c>
      <c r="H7" s="130">
        <f>H6-30</f>
        <v>770</v>
      </c>
    </row>
    <row r="10">
      <c r="A10" s="772" t="s">
        <v>459</v>
      </c>
      <c r="B10" s="773"/>
      <c r="C10" s="67"/>
      <c r="D10" s="126" t="s">
        <v>447</v>
      </c>
      <c r="E10" s="126" t="s">
        <v>448</v>
      </c>
      <c r="F10" s="126" t="s">
        <v>449</v>
      </c>
      <c r="G10" s="126" t="s">
        <v>450</v>
      </c>
      <c r="H10" s="127" t="s">
        <v>451</v>
      </c>
    </row>
    <row r="11">
      <c r="A11" s="774"/>
      <c r="B11" s="775"/>
      <c r="C11" s="3" t="s">
        <v>452</v>
      </c>
      <c r="D11" s="2">
        <f>تسجيل2!E7</f>
        <v>800</v>
      </c>
      <c r="E11" s="2">
        <f>تسجيل2!E7</f>
        <v>800</v>
      </c>
      <c r="F11" s="2">
        <f>تسجيل2!E7</f>
        <v>800</v>
      </c>
      <c r="G11" s="2">
        <f>تسجيل2!E7</f>
        <v>800</v>
      </c>
      <c r="H11" s="128">
        <f>تسجيل2!E7</f>
        <v>800</v>
      </c>
    </row>
    <row r="12">
      <c r="A12" s="774"/>
      <c r="B12" s="775"/>
      <c r="C12" s="3" t="s">
        <v>453</v>
      </c>
      <c r="D12" s="2">
        <f>IF(تسجيل2!R25=0,0,تسجيل2!R25)</f>
        <v>0</v>
      </c>
      <c r="E12" s="2">
        <f>IF(تسجيل2!R25=0,0,تسجيل2!R25)</f>
        <v>0</v>
      </c>
      <c r="F12" s="2">
        <f>IF(تسجيل2!R25=0,0,تسجيل2!R25)</f>
        <v>0</v>
      </c>
      <c r="G12" s="2">
        <f>IF(تسجيل2!R25=0,0,تسجيل2!R25)</f>
        <v>0</v>
      </c>
      <c r="H12" s="128">
        <f>IF(تسجيل2!R25=0,0,تسجيل2!R25)</f>
        <v>0</v>
      </c>
    </row>
    <row r="13">
      <c r="A13" s="774"/>
      <c r="B13" s="775"/>
      <c r="C13" s="3" t="s">
        <v>454</v>
      </c>
      <c r="D13" s="2">
        <v>8</v>
      </c>
      <c r="E13" s="2">
        <v>14</v>
      </c>
      <c r="F13" s="2">
        <v>12</v>
      </c>
      <c r="G13" s="2">
        <v>10</v>
      </c>
      <c r="H13" s="128">
        <f>تسجيل2!M29</f>
        <v>0</v>
      </c>
      <c r="K13" s="2" t="s">
        <v>269</v>
      </c>
      <c r="L13" s="3" t="s">
        <v>455</v>
      </c>
    </row>
    <row r="14">
      <c r="A14" s="774"/>
      <c r="B14" s="775"/>
      <c r="H14" s="91"/>
      <c r="J14" s="3" t="s">
        <v>457</v>
      </c>
      <c r="K14" s="2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3">
        <f>IF('Format (2)'!E8=1,تسجيل2!E7-30,IF('Format (2)'!E8=2,D16,IF('Format (2)'!E8=3,E16,IF('Format (2)'!E8=4,F16,IF('Format (2)'!E8=5,G16,IF('Format (2)'!E8=6,H16))))))</f>
        <v>770</v>
      </c>
    </row>
    <row r="15">
      <c r="A15" s="774"/>
      <c r="B15" s="775"/>
      <c r="C15" s="3" t="s">
        <v>456</v>
      </c>
      <c r="D15" s="2">
        <f>IF(D12=0,D11,D11-D12-D13+11)</f>
        <v>800</v>
      </c>
      <c r="E15" s="2">
        <f>IF(E12=0,E11,E11-E12-E13+11)</f>
        <v>800</v>
      </c>
      <c r="F15" s="2">
        <f>IF(F12=0,F11,F11-F12-F13+11)</f>
        <v>800</v>
      </c>
      <c r="G15" s="2">
        <f>IF(G12=0,G11,G11-G12-G13+11)</f>
        <v>800</v>
      </c>
      <c r="H15" s="128">
        <f>IF(H12=0,H11,H11-H12-H13+11)</f>
        <v>800</v>
      </c>
      <c r="Q15" s="2" t="s">
        <v>460</v>
      </c>
      <c r="R15" s="3" t="s">
        <v>461</v>
      </c>
    </row>
    <row r="16">
      <c r="A16" s="776"/>
      <c r="B16" s="777"/>
      <c r="C16" s="62" t="s">
        <v>458</v>
      </c>
      <c r="D16" s="129">
        <f>D15-30</f>
        <v>770</v>
      </c>
      <c r="E16" s="129">
        <f>E15-17</f>
        <v>783</v>
      </c>
      <c r="F16" s="129">
        <f>F15-30</f>
        <v>770</v>
      </c>
      <c r="G16" s="129">
        <f>G15-17</f>
        <v>783</v>
      </c>
      <c r="H16" s="130">
        <f>H15-30</f>
        <v>770</v>
      </c>
      <c r="Q16" s="3">
        <f>IF('Format (2)'!A7=1,K6,IF('Format (2)'!A7=3,K6,IF('Format (2)'!A7=4,K23,IF('Format (2)'!A7=2,K23,IF('Format (2)'!A7=5,K14,"------")))))</f>
        <v>800</v>
      </c>
      <c r="R16" s="3">
        <f>IF('Format (2)'!A7=1,L6,IF('Format (2)'!A7=3,L6,IF('Format (2)'!A7=4,L23,IF('Format (2)'!A7=2,L23+2,IF('Format (2)'!A7=5,L14,"------")))))</f>
        <v>772</v>
      </c>
    </row>
    <row r="19">
      <c r="A19" s="778" t="s">
        <v>462</v>
      </c>
      <c r="B19" s="779"/>
      <c r="C19" s="67"/>
      <c r="D19" s="126" t="s">
        <v>447</v>
      </c>
      <c r="E19" s="126" t="s">
        <v>448</v>
      </c>
      <c r="F19" s="126" t="s">
        <v>449</v>
      </c>
      <c r="G19" s="126" t="s">
        <v>450</v>
      </c>
      <c r="H19" s="127" t="s">
        <v>451</v>
      </c>
    </row>
    <row r="20">
      <c r="A20" s="780"/>
      <c r="B20" s="781"/>
      <c r="C20" s="3" t="s">
        <v>452</v>
      </c>
      <c r="D20" s="2">
        <f>تسجيل2!E7</f>
        <v>800</v>
      </c>
      <c r="E20" s="2">
        <f>تسجيل2!E7</f>
        <v>800</v>
      </c>
      <c r="F20" s="2">
        <f>تسجيل2!E7</f>
        <v>800</v>
      </c>
      <c r="G20" s="2">
        <f>تسجيل2!E7</f>
        <v>800</v>
      </c>
      <c r="H20" s="128">
        <f>تسجيل2!E7</f>
        <v>800</v>
      </c>
    </row>
    <row r="21">
      <c r="A21" s="780"/>
      <c r="B21" s="781"/>
      <c r="C21" s="3" t="s">
        <v>453</v>
      </c>
      <c r="D21" s="2">
        <f>IF(تسجيل2!R25=0,0,تسجيل2!R25)</f>
        <v>0</v>
      </c>
      <c r="E21" s="2">
        <f>IF(تسجيل2!R25=0,0,تسجيل2!R25)</f>
        <v>0</v>
      </c>
      <c r="F21" s="2">
        <f>IF(تسجيل2!R25=0,0,تسجيل2!R25)</f>
        <v>0</v>
      </c>
      <c r="G21" s="2">
        <f>IF(تسجيل2!R25=0,0,تسجيل2!R25)</f>
        <v>0</v>
      </c>
      <c r="H21" s="128">
        <f>IF(تسجيل2!R25=0,0,تسجيل2!R25)</f>
        <v>0</v>
      </c>
    </row>
    <row r="22">
      <c r="A22" s="780"/>
      <c r="B22" s="781"/>
      <c r="C22" s="3" t="s">
        <v>454</v>
      </c>
      <c r="D22" s="2">
        <v>8</v>
      </c>
      <c r="E22" s="2">
        <v>14</v>
      </c>
      <c r="F22" s="2">
        <v>12</v>
      </c>
      <c r="G22" s="2">
        <v>10</v>
      </c>
      <c r="H22" s="128">
        <f>تسجيل2!M38</f>
        <v>0</v>
      </c>
      <c r="K22" s="2" t="s">
        <v>269</v>
      </c>
      <c r="L22" s="3" t="s">
        <v>455</v>
      </c>
    </row>
    <row r="23">
      <c r="A23" s="780"/>
      <c r="B23" s="781"/>
      <c r="H23" s="91"/>
      <c r="J23" s="3" t="s">
        <v>457</v>
      </c>
      <c r="K23" s="2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3">
        <f>IF('Format (2)'!E8=1,تسجيل2!E7-30,IF('Format (2)'!E8=2,D25,IF('Format (2)'!E8=3,E25,IF('Format (2)'!E8=4,F25,IF('Format (2)'!E8=5,G25,IF('Format (2)'!E8=6,H25))))))</f>
        <v>770</v>
      </c>
    </row>
    <row r="24">
      <c r="A24" s="780"/>
      <c r="B24" s="781"/>
      <c r="C24" s="3" t="s">
        <v>456</v>
      </c>
      <c r="D24" s="2">
        <f>IF(D21=0,D20,D20-D21-D22+11)</f>
        <v>800</v>
      </c>
      <c r="E24" s="2">
        <f>IF(E21=0,E20,E20-E21-E22+11)</f>
        <v>800</v>
      </c>
      <c r="F24" s="2">
        <f>IF(F21=0,F20,F20-F21-F22+11)</f>
        <v>800</v>
      </c>
      <c r="G24" s="2">
        <f>IF(G21=0,G20,G20-G21-G22+11)</f>
        <v>800</v>
      </c>
      <c r="H24" s="128">
        <f>IF(H21=0,H20,H20-H21-H22+11)</f>
        <v>800</v>
      </c>
    </row>
    <row r="25">
      <c r="A25" s="782"/>
      <c r="B25" s="783"/>
      <c r="C25" s="62" t="s">
        <v>458</v>
      </c>
      <c r="D25" s="129">
        <f>D24-30</f>
        <v>770</v>
      </c>
      <c r="E25" s="129">
        <f>E24-13</f>
        <v>787</v>
      </c>
      <c r="F25" s="129">
        <f>F24-30</f>
        <v>770</v>
      </c>
      <c r="G25" s="129">
        <f>G24-13</f>
        <v>787</v>
      </c>
      <c r="H25" s="130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wavy1</vt:lpstr>
      <vt:lpstr>Royal2</vt:lpstr>
      <vt:lpstr>شماسي و كانتليفر</vt:lpstr>
      <vt:lpstr>wavy2</vt:lpstr>
      <vt:lpstr>بيرسا و لوفرز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2023-05-30T15:30:37Z</dcterms:modified>
</cp:coreProperties>
</file>