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<sst xmlns="http://schemas.openxmlformats.org/spreadsheetml/2006/main" count="598" uniqueCount="598">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</sst>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2627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1368"/>
    <tableColumn id="3" name="الوحدة" dataDxfId="2532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2521" totalsRowDxfId="2520"/>
    <tableColumn id="2" name="عدد" dataDxfId="2567" totalsRowDxfId="2520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BP28</calculatedColumnFormula>
    </tableColumn>
    <tableColumn id="8" name="اجمالي" totalsRowFunction="sum" dataDxfId="2559" totalsRowDxfId="2595">
      <calculatedColumnFormula>BH98*BP99</calculatedColumnFormula>
    </tableColumn>
    <tableColumn id="9" name="%" totalsRowFunction="custom" totalsRowDxfId="2599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2521" totalsRowDxfId="2520"/>
    <tableColumn id="2" name="عدد" dataDxfId="2567" totalsRowDxfId="2520">
      <calculatedColumnFormula>IF((#REF!="بالتات"),0,4)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614" totalsRowDxfId="2594">
      <calculatedColumnFormula>Sheet2!AW26</calculatedColumnFormula>
    </tableColumn>
    <tableColumn id="8" name="اجمالي" totalsRowFunction="sum" dataDxfId="2559" totalsRowDxfId="2595">
      <calculatedColumnFormula>BH84*BP84</calculatedColumnFormula>
    </tableColumn>
    <tableColumn id="9" name="%" totalsRowFunction="custom" totalsRowDxfId="2599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2521"/>
    <tableColumn id="2" name="عدد" totalsRowFunction="sum" dataDxfId="2521">
      <calculatedColumnFormula>BH90*4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(Table16627394105[[#This Row],[Column1]]*Table16627394105[[#This Row],[Column2]])*Table16627394105[[#This Row],[عدد]]</calculatedColumnFormula>
    </tableColumn>
    <tableColumn id="4" name="الوحده" dataDxfId="2521"/>
    <tableColumn id="5" name="الوزن" totalsRowFunction="custom">
      <totalsRowFormula>(BN93*BH93)+(BH94*BN94)</totalsRowFormula>
    </tableColumn>
    <tableColumn id="6" name="سعر الكيلو" dataDxfId="2567"/>
    <tableColumn id="7" name="سعر الشبك " dataDxfId="2583">
      <calculatedColumnFormula>BN92*$S$2/1000</calculatedColumnFormula>
    </tableColumn>
    <tableColumn id="8" name="اجمالي" totalsRowFunction="sum" dataDxfId="2559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572"/>
    <tableColumn id="2" name="المعدل" dataDxfId="2572"/>
    <tableColumn id="3" name="الوحدة" dataDxfId="2572"/>
    <tableColumn id="4" name="Column4" dataDxfId="2561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572"/>
    <tableColumn id="2" name="Column2" dataDxfId="256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2521" totalsRowDxfId="2520"/>
    <tableColumn id="2" name="عدد" dataDxfId="2602" totalsRowDxfId="2520">
      <calculatedColumnFormula>IF((تسعير!$AU$14="بالتات"),0,BH119-2)</calculatedColumnFormula>
    </tableColumn>
    <tableColumn id="3" name="بيان" totalsRowLabel="Total" dataDxfId="1371" totalsRowDxfId="2520"/>
    <tableColumn id="5" name="اليومية / الاجرة" dataDxfId="2615" totalsRowDxfId="2520"/>
    <tableColumn id="6" name="بدل الوجبة" dataDxfId="2616" totalsRowDxfId="2520"/>
    <tableColumn id="11" name="موقع العمل" dataDxfId="2557" totalsRowDxfId="2520">
      <calculatedColumnFormula>تسعير!$BE$44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SUMIF(Table17697899110[Column1],Table1612677697108[[#This Row],[موقع العمل]],$AE$2:$AE$8)</calculatedColumnFormula>
    </tableColumn>
    <tableColumn id="4" name="عدد الايام" dataDxfId="2592" totalsRowDxfId="2520"/>
    <tableColumn id="7" name="اجمالي التكلفة للعامل" dataDxfId="2593" totalsRowDxfId="2594">
      <calculatedColumnFormula>Table1612677697108[[#This Row],[Column12]]</calculatedColumnFormula>
    </tableColumn>
    <tableColumn id="8" name="اجمالي" totalsRowFunction="sum" dataDxfId="2559" totalsRowDxfId="2595">
      <calculatedColumnFormula>BH122*BP122</calculatedColumnFormula>
    </tableColumn>
    <tableColumn id="9" name="%" totalsRowFunction="custom" totalsRowDxfId="2599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2557"/>
    <tableColumn id="2" name="عدد" dataDxfId="2602">
      <calculatedColumnFormula>IF((BL133="الاسكندرية"),0.25,0.1)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1384"/>
    <tableColumn id="4" name="الوحده" dataDxfId="2587"/>
    <tableColumn id="5" name="الوزن" dataDxfId="2557"/>
    <tableColumn id="6" name="سعر الكيلو" dataDxfId="2557"/>
    <tableColumn id="7" name="سعر الشبك " dataDxfId="2588">
      <calculatedColumnFormula>BQ116</calculatedColumnFormula>
    </tableColumn>
    <tableColumn id="8" name="اجمالي" totalsRowFunction="sum" dataDxfId="2559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2557"/>
    <tableColumn id="4" name="Column22" dataDxfId="2557"/>
    <tableColumn id="5" name="Column23" dataDxfId="2557"/>
    <tableColumn id="3" name="Column3" dataDxfId="2596">
      <calculatedColumnFormula>IF((BL133="المقطم"),0.3,IF((BL133="التجمع"),0.3,IF((BL133="الشيخ زايد"),0.3,IF((BL133="الاسكندرية"),0.5,0.35))))</calculatedColumnFormula>
    </tableColumn>
    <tableColumn id="2" name="Column2" dataDxfId="2602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2521" totalsRowDxfId="2520"/>
    <tableColumn id="2" name="عدد" dataDxfId="2521" totalsRowDxfId="2520">
      <calculatedColumnFormula>IF(OR((BI69="B11"),(BI69="B12"),(BI69="B21"),(BI69="B22"),(BI69="B31"),(BI69="B32")),3,0)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(Table15880101112[[#This Row],[Column1]]+Table15880101112[[#This Row],[Column2]])*12*Table15880101112[[#This Row],[عدد]]</calculatedColumnFormula>
    </tableColumn>
    <tableColumn id="4" name="الوحده" dataDxfId="2521" totalsRowDxfId="2520"/>
    <tableColumn id="5" name="الوزن" totalsRowFunction="custom" totalsRowDxfId="2520">
      <totalsRowFormula>(BN76*BH76)+(BN77*BH77)+(BN78*BH78)+(BN79*BH79)</totalsRowFormula>
    </tableColumn>
    <tableColumn id="6" name="اجمالي المسطح" totalsRowFunction="sum" dataDxfId="2567" totalsRowDxfId="2520">
      <calculatedColumnFormula>Table15880101112[[#This Row],[المسطح]]*Table15880101112[[#This Row],[عدد]]</calculatedColumnFormula>
    </tableColumn>
    <tableColumn id="7" name="سعر الشبك " dataDxfId="2603" totalsRowDxfId="2594">
      <calculatedColumnFormula>BN76*$S$2/1000</calculatedColumnFormula>
    </tableColumn>
    <tableColumn id="8" name="اجمالي" totalsRowFunction="sum" dataDxfId="2559" totalsRowDxfId="2595">
      <calculatedColumnFormula>BH76*BP76</calculatedColumnFormula>
    </tableColumn>
    <tableColumn id="9" name="%" totalsRowFunction="custom" totalsRowDxfId="2599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2521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369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1370"/>
    <tableColumn id="7" name="سعر الشبك " dataDxfId="209">
      <calculatedColumnFormula>Sheet2!B31</calculatedColumnFormula>
    </tableColumn>
    <tableColumn id="8" name="اجمالي" totalsRowFunction="sum" dataDxfId="2523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2611" totalsRowDxfId="1399"/>
    <tableColumn id="2" name="عدد" totalsRowFunction="custom" totalsRowDxfId="1400">
      <totalsRowFormula>(Table80102113[[#Totals],[price]]*1.1)/(BA72*AY72/10000)</totalsRowFormula>
    </tableColumn>
    <tableColumn id="3" name="طول" dataDxfId="1397" totalsRowDxfId="2617"/>
    <tableColumn id="4" name="Column2" dataDxfId="1397" totalsRowDxfId="2612"/>
    <tableColumn id="5" name="wt/m" dataDxfId="2618" totalsRowDxfId="1398"/>
    <tableColumn id="6" name="price" totalsRowFunction="sum" dataDxfId="2613" totalsRowDxfId="1398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401" totalsRowDxfId="2619"/>
    <tableColumn id="2" name="عدد" totalsRowFunction="custom" dataDxfId="2620" totalsRowDxfId="2621">
      <totalsRowFormula>(Table80102114[[#Totals],[price]]*1.1)/(F1*D1/10000)</totalsRowFormula>
    </tableColumn>
    <tableColumn id="3" name="طول" dataDxfId="1401" totalsRowDxfId="2622"/>
    <tableColumn id="4" name="Column2" dataDxfId="2623" totalsRowDxfId="2617"/>
    <tableColumn id="5" name="wt/m" dataDxfId="2620" totalsRowDxfId="2612"/>
    <tableColumn id="6" name="price" totalsRowFunction="sum" dataDxfId="1401" totalsRowDxfId="2624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02" dataDxfId="1401" totalsRowDxfId="145">
  <autoFilter ref="A75:F96"/>
  <tableColumns count="6">
    <tableColumn id="1" name="Column1" totalsRowLabel="Total" dataDxfId="2625" totalsRowDxfId="1399"/>
    <tableColumn id="2" name="عدد" totalsRowFunction="custom" dataDxfId="2623" totalsRowDxfId="1400">
      <totalsRowFormula>(Table80102114115[[#Totals],[price]]*1.1)/(F74*D74/10000)</totalsRowFormula>
    </tableColumn>
    <tableColumn id="3" name="طول" dataDxfId="2620" totalsRowDxfId="2622"/>
    <tableColumn id="4" name="Column2" dataDxfId="2626" totalsRowDxfId="2617"/>
    <tableColumn id="5" name="wt/m" dataDxfId="2625" totalsRowDxfId="2612"/>
    <tableColumn id="6" name="price" totalsRowFunction="sum" dataDxfId="2623" totalsRowDxfId="1398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2521"/>
    <tableColumn id="2" name="عدد" dataDxfId="2521">
      <calculatedColumnFormula>IF((F74="الاسكندرية"),0.25,0.1)</calculatedColumnFormula>
    </tableColumn>
    <tableColumn id="3" name="بيان برجولا رويال" totalsRowLabel="Total" dataDxfId="2521"/>
    <tableColumn id="12" name="Column12" totalsRowFunction="sum" dataDxfId="1366"/>
    <tableColumn id="5" name="Column1" dataDxfId="2521"/>
    <tableColumn id="11" name="العرض" dataDxfId="2533"/>
    <tableColumn id="10" name="الامتداد" dataDxfId="2519"/>
    <tableColumn id="4" name="سعر المتر" dataDxfId="2534"/>
    <tableColumn id="6" name="Column2" dataDxfId="225"/>
    <tableColumn id="7" name="سعر البرجولا كاملة" dataDxfId="2522">
      <calculatedColumnFormula>(K57)</calculatedColumnFormula>
    </tableColumn>
    <tableColumn id="8" name="اجمالي" totalsRowFunction="sum" dataDxfId="1363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2521" totalsRowDxfId="2520"/>
    <tableColumn id="2" name="عدد" dataDxfId="196" totalsRowDxfId="2520">
      <calculatedColumnFormula>B60</calculatedColumnFormula>
    </tableColumn>
    <tableColumn id="3" name="بيان" totalsRowLabel="Total" dataDxfId="226" totalsRowDxfId="2520"/>
    <tableColumn id="5" name="اليومية / الاجرة" dataDxfId="1371" totalsRowDxfId="2520"/>
    <tableColumn id="6" name="بدل الوجبة" dataDxfId="1372" totalsRowDxfId="2520"/>
    <tableColumn id="11" name="موقع العمل" dataDxfId="1369" totalsRowDxfId="2520">
      <calculatedColumnFormula>تسعير!$T$4</calculatedColumnFormula>
    </tableColumn>
    <tableColumn id="10" name="شيفت العمل" dataDxfId="2521" totalsRowDxfId="2520"/>
    <tableColumn id="12" name="Column12" totalsRowFunction="sum" dataDxfId="2535" totalsRowDxfId="1367">
      <calculatedColumnFormula>SUMIF(Table17[Column1],Table1612[[#This Row],[موقع العمل]],$T$2:$T$20)</calculatedColumnFormula>
    </tableColumn>
    <tableColumn id="4" name="عدد الايام" dataDxfId="221" totalsRowDxfId="2520"/>
    <tableColumn id="7" name="اجمالي التكلفة للعامل" dataDxfId="220" totalsRowDxfId="2536">
      <calculatedColumnFormula>Table1612[[#This Row],[Column12]]</calculatedColumnFormula>
    </tableColumn>
    <tableColumn id="8" name="اجمالي" totalsRowFunction="sum" dataDxfId="1363" totalsRowDxfId="2537">
      <calculatedColumnFormula>B63*J63</calculatedColumnFormula>
    </tableColumn>
    <tableColumn id="9" name="%" totalsRowFunction="custom" totalsRowDxfId="2538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1373"/>
    <tableColumn id="3" name="داخلي" dataDxfId="2539"/>
    <tableColumn id="4" name="بدل الوجبة" dataDxfId="1373"/>
    <tableColumn id="5" name="دبابة" dataDxfId="2540"/>
    <tableColumn id="6" name="جامبو" dataDxfId="2539"/>
    <tableColumn id="7" name="الاقامة" dataDxfId="1373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2541"/>
    <tableColumn id="4" name="Column22" dataDxfId="2533"/>
    <tableColumn id="5" name="Column23" dataDxfId="1369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2533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2521" totalsRowDxfId="2520"/>
    <tableColumn id="2" name="عدد" dataDxfId="2521" totalsRowDxfId="2520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27" totalsRowDxfId="2542">
      <calculatedColumnFormula>(Table118[[#This Row],[Column1]]+Table118[[#This Row],[Column2]])*12*Table118[[#This Row],[عدد]]</calculatedColumnFormula>
    </tableColumn>
    <tableColumn id="4" name="الوحده" dataDxfId="2521" totalsRowDxfId="2520"/>
    <tableColumn id="5" name="الوزن" totalsRowFunction="custom" dataDxfId="2521" totalsRowDxfId="2520">
      <totalsRowFormula>H9*B9+B8*H8+H7*B7</totalsRowFormula>
    </tableColumn>
    <tableColumn id="6" name="اجمالي الميزان" totalsRowFunction="sum" dataDxfId="2514" totalsRowDxfId="2520">
      <calculatedColumnFormula>Table118[[#This Row],[الوزن]]*Table118[[#This Row],[عدد]]</calculatedColumnFormula>
    </tableColumn>
    <tableColumn id="7" name="سعر الشبك " dataDxfId="1361" totalsRowDxfId="2524">
      <calculatedColumnFormula>H6*$H$2/1000</calculatedColumnFormula>
    </tableColumn>
    <tableColumn id="8" name="اجمالي" totalsRowFunction="sum" dataDxfId="2543" totalsRowDxfId="2525">
      <calculatedColumnFormula>B6*J6</calculatedColumnFormula>
    </tableColumn>
    <tableColumn id="9" name="%" totalsRowFunction="custom" totalsRowDxfId="2526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2521" totalsRowDxfId="2520"/>
    <tableColumn id="2" name="عدد" dataDxfId="2512" totalsRowDxfId="2520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1358" totalsRowDxfId="2520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2521" totalsRowDxfId="2520">
      <calculatedColumnFormula>Sheet2!B7</calculatedColumnFormula>
    </tableColumn>
    <tableColumn id="7" name="سعر الشبك " dataDxfId="1361" totalsRowDxfId="1362"/>
    <tableColumn id="8" name="اجمالي" totalsRowFunction="sum" dataDxfId="2531" totalsRowDxfId="1364">
      <calculatedColumnFormula>B36*Table1319[[#This Row],[سعر الكيلو]]</calculatedColumnFormula>
    </tableColumn>
    <tableColumn id="9" name="%" totalsRowFunction="custom" totalsRowDxfId="1365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2521"/>
    <tableColumn id="2" name="عدد" dataDxfId="2521">
      <calculatedColumnFormula>IF((تسعير!X30&lt;800),0,IF(AND((تسعير!X30&gt;800),(600&gt;=تسعير!AA32)),1,0))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29">
      <calculatedColumnFormula>(Table1421[[#This Row],[Column1]]+Table1421[[#This Row],[Column2]])*12*Table1421[[#This Row],[عدد]]</calculatedColumnFormula>
    </tableColumn>
    <tableColumn id="4" name="الوحده" dataDxfId="2521"/>
    <tableColumn id="5" name="الوزن" dataDxfId="2521"/>
    <tableColumn id="6" name="سعر الكيلو" totalsRowFunction="sum" dataDxfId="2519">
      <calculatedColumnFormula>Table1421[[#This Row],[الوزن]]*Table1421[[#This Row],[عدد]]</calculatedColumnFormula>
    </tableColumn>
    <tableColumn id="7" name="سعر الشبك " dataDxfId="2544">
      <calculatedColumnFormula>H13*$I$2/1000</calculatedColumnFormula>
    </tableColumn>
    <tableColumn id="8" name="اجمالي" totalsRowFunction="sum" dataDxfId="2523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2521" totalsRowDxfId="2520"/>
    <tableColumn id="2" name="عدد" dataDxfId="2517" totalsRowDxfId="252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1366" totalsRowDxfId="252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30" totalsRowDxfId="1362">
      <calculatedColumnFormula>Sheet2!B22</calculatedColumnFormula>
    </tableColumn>
    <tableColumn id="8" name="اجمالي" totalsRowFunction="sum" dataDxfId="2545" totalsRowDxfId="1364">
      <calculatedColumnFormula>B18*J18</calculatedColumnFormula>
    </tableColumn>
    <tableColumn id="9" name="%" totalsRowFunction="custom" totalsRowDxfId="1365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2521"/>
    <tableColumn id="2" name="عدد" totalsRowFunction="count" dataDxfId="2514">
      <calculatedColumnFormula>B30*4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1366">
      <calculatedColumnFormula>(Table1624[[#This Row],[Column1]]*Table1624[[#This Row],[Column2]])*Table1624[[#This Row],[عدد]]</calculatedColumnFormula>
    </tableColumn>
    <tableColumn id="4" name="الوحده" dataDxfId="2521"/>
    <tableColumn id="5" name="الوزن" totalsRowFunction="custom">
      <totalsRowFormula>H31*B31+H32*B32</totalsRowFormula>
    </tableColumn>
    <tableColumn id="6" name="سعر الكيلو" dataDxfId="2512">
      <calculatedColumnFormula>$H$2/1000</calculatedColumnFormula>
    </tableColumn>
    <tableColumn id="7" name="سعر الشبك " dataDxfId="2522">
      <calculatedColumnFormula>H31*$H$2/1000</calculatedColumnFormula>
    </tableColumn>
    <tableColumn id="8" name="اجمالي" totalsRowFunction="sum" dataDxfId="2543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68"/>
    <tableColumn id="2" name="المعدل" dataDxfId="2546"/>
    <tableColumn id="3" name="الوحدة" dataDxfId="2532"/>
    <tableColumn id="4" name="Column4" dataDxfId="1368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2521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369"/>
    <tableColumn id="11" name="Column2" dataDxfId="2547"/>
    <tableColumn id="10" name="Column1" dataDxfId="1370"/>
    <tableColumn id="12" name="Column12" totalsRowFunction="sum" dataDxfId="1095"/>
    <tableColumn id="4" name="الوحده" dataDxfId="1377"/>
    <tableColumn id="5" name="الوزن" dataDxfId="1378"/>
    <tableColumn id="6" name="سعر الكيلو" dataDxfId="2548"/>
    <tableColumn id="7" name="سعر الشبك " dataDxfId="1379">
      <calculatedColumnFormula>Sheet2!B31</calculatedColumnFormula>
    </tableColumn>
    <tableColumn id="8" name="اجمالي" totalsRowFunction="sum" dataDxfId="2531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2521"/>
    <tableColumn id="2" name="عدد" dataDxfId="2521">
      <calculatedColumnFormula>IF((F79="الاسكندرية"),0.25,0.1)</calculatedColumnFormula>
    </tableColumn>
    <tableColumn id="3" name="بيان برجولا رويال" totalsRowLabel="Total" dataDxfId="2521"/>
    <tableColumn id="12" name="Column12" totalsRowFunction="sum" dataDxfId="2549"/>
    <tableColumn id="5" name="Column1" dataDxfId="2521"/>
    <tableColumn id="11" name="العرض" dataDxfId="2541"/>
    <tableColumn id="10" name="الامتداد" dataDxfId="1358"/>
    <tableColumn id="4" name="سعر المتر" dataDxfId="2534"/>
    <tableColumn id="6" name="Column2" dataDxfId="2550"/>
    <tableColumn id="7" name="سعر البرجولا كاملة" dataDxfId="2551">
      <calculatedColumnFormula>K58</calculatedColumnFormula>
    </tableColumn>
    <tableColumn id="8" name="اجمالي" totalsRowFunction="sum" dataDxfId="2523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2521" totalsRowDxfId="2520"/>
    <tableColumn id="2" name="عدد" dataDxfId="2533" totalsRowDxfId="2520">
      <calculatedColumnFormula>B65</calculatedColumnFormula>
    </tableColumn>
    <tableColumn id="3" name="بيان" totalsRowLabel="Total" dataDxfId="2552" totalsRowDxfId="2520"/>
    <tableColumn id="5" name="اليومية / الاجرة" dataDxfId="120" totalsRowDxfId="2520"/>
    <tableColumn id="6" name="بدل الوجبة" dataDxfId="1372" totalsRowDxfId="2520"/>
    <tableColumn id="11" name="موقع العمل" dataDxfId="1369" totalsRowDxfId="2520">
      <calculatedColumnFormula>تسعير!$T$24</calculatedColumnFormula>
    </tableColumn>
    <tableColumn id="10" name="شيفت العمل" dataDxfId="2521" totalsRowDxfId="2520"/>
    <tableColumn id="12" name="Column12" totalsRowFunction="sum" dataDxfId="2535" totalsRowDxfId="1367">
      <calculatedColumnFormula>SUMIF(Table1731[Column1],Table161229[[#This Row],[موقع العمل]],$T$2:$T$26)</calculatedColumnFormula>
    </tableColumn>
    <tableColumn id="4" name="عدد الايام" dataDxfId="1380" totalsRowDxfId="2520"/>
    <tableColumn id="7" name="اجمالي التكلفة للعامل" dataDxfId="1381" totalsRowDxfId="2553">
      <calculatedColumnFormula>Table161229[[#This Row],[Column12]]</calculatedColumnFormula>
    </tableColumn>
    <tableColumn id="8" name="اجمالي" totalsRowFunction="sum" dataDxfId="1363" totalsRowDxfId="2554">
      <calculatedColumnFormula>B68*J68</calculatedColumnFormula>
    </tableColumn>
    <tableColumn id="9" name="%" totalsRowFunction="custom" totalsRowDxfId="2555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2556" totalsRowDxfId="2520"/>
    <tableColumn id="2" name="عدد" dataDxfId="2547" totalsRowDxfId="2520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2547" totalsRowDxfId="2520"/>
    <tableColumn id="11" name="Column2" dataDxfId="2541" totalsRowDxfId="2520"/>
    <tableColumn id="10" name="Column1" dataDxfId="2533" totalsRowDxfId="2520"/>
    <tableColumn id="12" name="Column12" totalsRowFunction="sum" dataDxfId="213" totalsRowDxfId="1367"/>
    <tableColumn id="4" name="الوحده" dataDxfId="1370" totalsRowDxfId="2520"/>
    <tableColumn id="5" name="الوزن" dataDxfId="1369" totalsRowDxfId="2520"/>
    <tableColumn id="6" name="سعر الكيلو" dataDxfId="2557" totalsRowDxfId="2520"/>
    <tableColumn id="7" name="سعر الشبك " dataDxfId="2558" totalsRowDxfId="2536"/>
    <tableColumn id="8" name="اجمالي" totalsRowFunction="sum" dataDxfId="2559" totalsRowDxfId="2537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532"/>
    <tableColumn id="2" name="خارجي" dataDxfId="1368"/>
    <tableColumn id="3" name="داخلي" dataDxfId="2560"/>
    <tableColumn id="4" name="بدل الوجبة" dataDxfId="2546"/>
    <tableColumn id="5" name="دبابة" dataDxfId="1368"/>
    <tableColumn id="6" name="جامبو" dataDxfId="2561"/>
    <tableColumn id="7" name="الاقامة" dataDxfId="2560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2541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373" totalsRowDxfId="887"/>
    <tableColumn id="6" name="الطول بالمتر" dataDxfId="2562" totalsRowDxfId="1383"/>
    <tableColumn id="5" name="وزن المتر " dataDxfId="2540" totalsRowDxfId="2563"/>
    <tableColumn id="4" name="سعر الكيلو" dataDxfId="2539" totalsRowDxfId="1383"/>
    <tableColumn id="3" name="اجمالي عدد " totalsRowFunction="custom" totalsRowDxfId="2564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2565" totalsRowDxfId="2563"/>
    <tableColumn id="10" name="Column2" dataDxfId="2562" totalsRowDxfId="1383"/>
    <tableColumn id="11" name="Column3" dataDxfId="2540" totalsRowDxfId="1383"/>
    <tableColumn id="12" name="Column4" dataDxfId="2539" totalsRowDxfId="256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44" totalsRowDxfId="2524">
      <calculatedColumnFormula>Sheet2!B2</calculatedColumnFormula>
    </tableColumn>
    <tableColumn id="8" name="اجمالي" totalsRowFunction="sum" dataDxfId="2559" totalsRowDxfId="2525">
      <calculatedColumnFormula>M26*U26</calculatedColumnFormula>
    </tableColumn>
    <tableColumn id="9" name="%" totalsRowFunction="custom" totalsRowDxfId="2538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7" totalsRowDxfId="256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30" totalsRowDxfId="2569">
      <calculatedColumnFormula>Sheet2!B24</calculatedColumnFormula>
    </tableColumn>
    <tableColumn id="8" name="اجمالي" totalsRowFunction="sum" dataDxfId="2559" totalsRowDxfId="2570">
      <calculatedColumnFormula>M11*U11</calculatedColumnFormula>
    </tableColumn>
    <tableColumn id="9" name="%" totalsRowFunction="custom" totalsRowDxfId="252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71">
      <calculatedColumnFormula>(Table1662[[#This Row],[Column1]]*Table1662[[#This Row],[Column2]])*Table1662[[#This Row],[عدد]]</calculatedColumnFormula>
    </tableColumn>
    <tableColumn id="4" name="الوحده" dataDxfId="2521"/>
    <tableColumn id="5" name="الوزن" totalsRowFunction="custom">
      <totalsRowFormula>(S21*M21)+(M22*S22)</totalsRowFormula>
    </tableColumn>
    <tableColumn id="6" name="سعر الكيلو" dataDxfId="2567"/>
    <tableColumn id="7" name="سعر الشبك " dataDxfId="2522">
      <calculatedColumnFormula>S21*$S$2/1000</calculatedColumnFormula>
    </tableColumn>
    <tableColumn id="8" name="اجمالي" totalsRowFunction="sum" dataDxfId="2559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546"/>
    <tableColumn id="2" name="المعدل" dataDxfId="2532"/>
    <tableColumn id="3" name="الوحدة" dataDxfId="1368"/>
    <tableColumn id="4" name="Column4" dataDxfId="2532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572"/>
    <tableColumn id="2" name="Column2" dataDxfId="256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2521" totalsRowDxfId="2520"/>
    <tableColumn id="2" name="عدد" dataDxfId="2573" totalsRowDxfId="2520">
      <calculatedColumnFormula>IF((تسعير!$AU$14="بالتات"),0,M52-2)</calculatedColumnFormula>
    </tableColumn>
    <tableColumn id="3" name="بيان" totalsRowLabel="Total" dataDxfId="1371" totalsRowDxfId="2520"/>
    <tableColumn id="5" name="اليومية / الاجرة" dataDxfId="2574" totalsRowDxfId="2520"/>
    <tableColumn id="6" name="بدل الوجبة" dataDxfId="2575" totalsRowDxfId="2520"/>
    <tableColumn id="11" name="موقع العمل" dataDxfId="2557" totalsRowDxfId="2520">
      <calculatedColumnFormula>تسعير!$AT$4</calculatedColumnFormula>
    </tableColumn>
    <tableColumn id="10" name="شيفت العمل" dataDxfId="2521" totalsRowDxfId="2520"/>
    <tableColumn id="12" name="Column12" totalsRowFunction="sum" dataDxfId="2549" totalsRowDxfId="2542">
      <calculatedColumnFormula>SUMIF(Table1769[Column1],Table161267[[#This Row],[موقع العمل]],$AE$2:$AE$8)</calculatedColumnFormula>
    </tableColumn>
    <tableColumn id="4" name="عدد الايام" dataDxfId="2576" totalsRowDxfId="2520"/>
    <tableColumn id="7" name="اجمالي التكلفة للعامل" dataDxfId="2577" totalsRowDxfId="2553">
      <calculatedColumnFormula>Table161267[[#This Row],[Column12]]</calculatedColumnFormula>
    </tableColumn>
    <tableColumn id="8" name="اجمالي" totalsRowFunction="sum" dataDxfId="2559" totalsRowDxfId="2554">
      <calculatedColumnFormula>M55*U55</calculatedColumnFormula>
    </tableColumn>
    <tableColumn id="9" name="%" totalsRowFunction="custom" totalsRowDxfId="2578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2557"/>
    <tableColumn id="2" name="عدد" dataDxfId="2556">
      <calculatedColumnFormula>IF((Q65="الاسكندرية"),0.25,0.1)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1384"/>
    <tableColumn id="4" name="الوحده" dataDxfId="1370"/>
    <tableColumn id="5" name="الوزن" dataDxfId="2557"/>
    <tableColumn id="6" name="سعر الكيلو" dataDxfId="2557"/>
    <tableColumn id="7" name="سعر الشبك " dataDxfId="1379">
      <calculatedColumnFormula>V48</calculatedColumnFormula>
    </tableColumn>
    <tableColumn id="8" name="اجمالي" totalsRowFunction="sum" dataDxfId="2559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2557"/>
    <tableColumn id="4" name="Column22" dataDxfId="2557"/>
    <tableColumn id="5" name="Column23" dataDxfId="2557"/>
    <tableColumn id="3" name="Column3" dataDxfId="2579">
      <calculatedColumnFormula>IF((Q66="المقطم"),0.3,IF((Q66="التجمع"),0.3,IF((Q66="الشيخ زايد"),0.3,IF((Q66="الاسكندرية"),0.5,0.35))))</calculatedColumnFormula>
    </tableColumn>
    <tableColumn id="2" name="Column2" dataDxfId="25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2521"/>
    <tableColumn id="2" name="عدد" dataDxfId="2521">
      <calculatedColumnFormula>IF((N2="A1"),2,IF((N2="A2"),3,IF((N2="B1"),2.5,IF((N2="B2"),3,0))))</calculatedColumnFormula>
    </tableColumn>
    <tableColumn id="3" name="بيان" totalsRowLabel="Total" dataDxfId="2521"/>
    <tableColumn id="11" name="Column2" dataDxfId="2521"/>
    <tableColumn id="10" name="Column1" dataDxfId="2521"/>
    <tableColumn id="12" name="المسطح" totalsRowFunction="sum" dataDxfId="2535">
      <calculatedColumnFormula>(Table158[[#This Row],[Column1]]+Table158[[#This Row],[Column2]])*12*Table158[[#This Row],[عدد]]</calculatedColumnFormula>
    </tableColumn>
    <tableColumn id="4" name="الوحده" dataDxfId="2521"/>
    <tableColumn id="5" name="الوزن" totalsRowFunction="custom">
      <totalsRowFormula>(S7*M7)</totalsRowFormula>
    </tableColumn>
    <tableColumn id="6" name="سعر الكيلو" totalsRowFunction="sum" dataDxfId="2567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2559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373" totalsRowDxfId="2564"/>
    <tableColumn id="6" name="الطول بالمتر" dataDxfId="2580" totalsRowDxfId="2563"/>
    <tableColumn id="5" name="وزن المتر " dataDxfId="2580" totalsRowDxfId="2581"/>
    <tableColumn id="4" name="سعر الكيلو" dataDxfId="2580" totalsRowDxfId="2566"/>
    <tableColumn id="3" name="اجمالي عدد " totalsRowFunction="custom" totalsRowDxfId="2564">
      <totalsRowFormula>Table823[[#Totals],[اجمالي التكلفة]]/B1</totalsRowFormula>
    </tableColumn>
    <tableColumn id="2" name="اجمالي التكلفة" totalsRowFunction="sum" dataDxfId="1385" totalsRowDxfId="1386"/>
    <tableColumn id="9" name="Column1" dataDxfId="2580" totalsRowDxfId="2563"/>
    <tableColumn id="10" name="Column2" dataDxfId="2580" totalsRowDxfId="1383"/>
    <tableColumn id="11" name="Column3" dataDxfId="2580" totalsRowDxfId="2582"/>
    <tableColumn id="12" name="Column4" dataDxfId="2580" totalsRowDxfId="2582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1361" totalsRowDxfId="2536">
      <calculatedColumnFormula>Sheet2!B2</calculatedColumnFormula>
    </tableColumn>
    <tableColumn id="8" name="اجمالي" totalsRowFunction="sum" dataDxfId="2559" totalsRowDxfId="2537">
      <calculatedColumnFormula>M26*U26</calculatedColumnFormula>
    </tableColumn>
    <tableColumn id="9" name="%" totalsRowFunction="custom" totalsRowDxfId="2555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7" totalsRowDxfId="252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24">
      <calculatedColumnFormula>Sheet2!B24</calculatedColumnFormula>
    </tableColumn>
    <tableColumn id="8" name="اجمالي" totalsRowFunction="sum" dataDxfId="2559" totalsRowDxfId="2525">
      <calculatedColumnFormula>M11*U11</calculatedColumnFormula>
    </tableColumn>
    <tableColumn id="9" name="%" totalsRowFunction="custom" totalsRowDxfId="2538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1366">
      <calculatedColumnFormula>(Table166241[[#This Row],[Column1]]*Table166241[[#This Row],[Column2]])*Table166241[[#This Row],[عدد]]</calculatedColumnFormula>
    </tableColumn>
    <tableColumn id="4" name="الوحده" dataDxfId="2521"/>
    <tableColumn id="5" name="الوزن" totalsRowFunction="custom">
      <totalsRowFormula>(S21*M21)+(M22*S22)</totalsRowFormula>
    </tableColumn>
    <tableColumn id="6" name="سعر الكيلو" dataDxfId="2567"/>
    <tableColumn id="7" name="سعر الشبك " dataDxfId="2583">
      <calculatedColumnFormula>S21*$S$2/1000</calculatedColumnFormula>
    </tableColumn>
    <tableColumn id="8" name="اجمالي" totalsRowFunction="sum" dataDxfId="2559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572"/>
    <tableColumn id="2" name="المعدل" dataDxfId="2572"/>
    <tableColumn id="3" name="الوحدة" dataDxfId="2572"/>
    <tableColumn id="4" name="Column4" dataDxfId="2546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2521" totalsRowDxfId="2520"/>
    <tableColumn id="2" name="عدد" dataDxfId="2533" totalsRowDxfId="2520">
      <calculatedColumnFormula>IF((تسعير!$BF$14="بالتات"),0,M52-2)</calculatedColumnFormula>
    </tableColumn>
    <tableColumn id="3" name="بيان" totalsRowLabel="Total" dataDxfId="2552" totalsRowDxfId="2520"/>
    <tableColumn id="5" name="اليومية / الاجرة" dataDxfId="1371" totalsRowDxfId="2520"/>
    <tableColumn id="6" name="بدل الوجبة" dataDxfId="2550" totalsRowDxfId="2520"/>
    <tableColumn id="11" name="موقع العمل" dataDxfId="2557" totalsRowDxfId="2520">
      <calculatedColumnFormula>تسعير!$BE$4</calculatedColumnFormula>
    </tableColumn>
    <tableColumn id="10" name="شيفت العمل" dataDxfId="2521" totalsRowDxfId="2520"/>
    <tableColumn id="12" name="Column12" totalsRowFunction="sum" dataDxfId="2584" totalsRowDxfId="2585"/>
    <tableColumn id="4" name="عدد الايام" dataDxfId="1380" totalsRowDxfId="2520"/>
    <tableColumn id="7" name="اجمالي التكلفة للعامل" dataDxfId="1381" totalsRowDxfId="1362">
      <calculatedColumnFormula>Table16126744[[#This Row],[Column12]]</calculatedColumnFormula>
    </tableColumn>
    <tableColumn id="8" name="اجمالي" totalsRowFunction="sum" dataDxfId="2559" totalsRowDxfId="1364">
      <calculatedColumnFormula>M55*U55</calculatedColumnFormula>
    </tableColumn>
    <tableColumn id="9" name="%" totalsRowFunction="custom" totalsRowDxfId="252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2557"/>
    <tableColumn id="2" name="عدد" dataDxfId="1369">
      <calculatedColumnFormula>IF((Q65="الاسكندرية"),0.25,0.1)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2586"/>
    <tableColumn id="4" name="الوحده" dataDxfId="2587"/>
    <tableColumn id="5" name="الوزن" dataDxfId="2557"/>
    <tableColumn id="6" name="سعر الكيلو" dataDxfId="2557"/>
    <tableColumn id="7" name="سعر الشبك " dataDxfId="2588">
      <calculatedColumnFormula>V48</calculatedColumnFormula>
    </tableColumn>
    <tableColumn id="8" name="اجمالي" totalsRowFunction="sum" dataDxfId="2559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2580"/>
    <tableColumn id="2" name="خارجي" dataDxfId="2580"/>
    <tableColumn id="3" name="داخلي" dataDxfId="2580"/>
    <tableColumn id="4" name="بدل الوجبة" dataDxfId="2580"/>
    <tableColumn id="5" name="دبابة" dataDxfId="2580"/>
    <tableColumn id="6" name="جامبو" dataDxfId="2580"/>
    <tableColumn id="7" name="الاقامة" dataDxfId="25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IF((Q66="المقطم"),0.3,IF((Q66="التجمع"),0.3,IF((Q66="الشيخ زايد"),0.3,IF((Q66="الاسكندرية"),0.5,0.35))))</calculatedColumnFormula>
    </tableColumn>
    <tableColumn id="2" name="Column2" dataDxfId="2573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2521"/>
    <tableColumn id="2" name="عدد" dataDxfId="2521">
      <calculatedColumnFormula>IF((N2="c1"),3,IF((N2="c2"),4,IF((N2="d1"),4,IF((N2="d2"),5,0))))</calculatedColumnFormula>
    </tableColumn>
    <tableColumn id="3" name="بيان" totalsRowLabel="Total" dataDxfId="2521"/>
    <tableColumn id="11" name="Column2" dataDxfId="2521"/>
    <tableColumn id="10" name="Column1" dataDxfId="2521"/>
    <tableColumn id="12" name="المسطح" totalsRowFunction="sum" dataDxfId="2584">
      <calculatedColumnFormula>(Table15855[[#This Row],[Column1]]+Table15855[[#This Row],[Column2]])*12*Table15855[[#This Row],[عدد]]</calculatedColumnFormula>
    </tableColumn>
    <tableColumn id="4" name="الوحده" dataDxfId="2521"/>
    <tableColumn id="5" name="الوزن" totalsRowFunction="custom">
      <totalsRowFormula>(S7*M7)</totalsRowFormula>
    </tableColumn>
    <tableColumn id="6" name="سعر الكيلو" dataDxfId="2567"/>
    <tableColumn id="7" name="سعر الشبك " dataDxfId="1387">
      <calculatedColumnFormula>S6*$S$2/1000</calculatedColumnFormula>
    </tableColumn>
    <tableColumn id="8" name="اجمالي" totalsRowFunction="sum" dataDxfId="2559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2580"/>
    <tableColumn id="2" name="المقاس" dataDxfId="258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358" totalsRowDxfId="1359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2512" totalsRowDxfId="2513"/>
    <tableColumn id="11" name="Column2" dataDxfId="1358" totalsRowDxfId="1359"/>
    <tableColumn id="10" name="Column1" dataDxfId="2514" totalsRowDxfId="2515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2512" totalsRowDxfId="2513"/>
    <tableColumn id="5" name="الوزن" totalsRowFunction="custom" totalsRowDxfId="1359">
      <totalsRowFormula>(H6*B6)+(H8*B8)+(H7*B7)</totalsRowFormula>
    </tableColumn>
    <tableColumn id="6" name="مسطح" dataDxfId="180" totalsRowDxfId="1359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25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2580" totalsRowDxfId="775"/>
    <tableColumn id="2" name="عدد/الشمسية" dataDxfId="774" totalsRowDxfId="771"/>
    <tableColumn id="3" name="سعر الوحدة" dataDxfId="2580" totalsRowDxfId="1388"/>
    <tableColumn id="4" name="قيمة" totalsRowFunction="sum" dataDxfId="258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2580"/>
    <tableColumn id="2" name="امتار عادية" dataDxfId="2580"/>
    <tableColumn id="4" name="امتار single" dataDxfId="2580"/>
    <tableColumn id="6" name="امتار douple" dataDxfId="25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2580"/>
    <tableColumn id="2" name="Column2" dataDxfId="25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1389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1373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391"/>
    <tableColumn id="2" name="Column2" dataDxfId="25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2580" totalsRowDxfId="2568"/>
    <tableColumn id="2" name="عدد/الشمسية" dataDxfId="751" totalsRowDxfId="2542"/>
    <tableColumn id="3" name="سعر الوحدة" dataDxfId="2580" totalsRowDxfId="2528"/>
    <tableColumn id="4" name="قيمة" totalsRowFunction="sum" dataDxfId="2580" totalsRowDxfId="1367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2580"/>
    <tableColumn id="2" name="امتار عادية" dataDxfId="2580"/>
    <tableColumn id="4" name="امتار single" dataDxfId="2580"/>
    <tableColumn id="6" name="امتار douple" dataDxfId="25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358" totalsRowDxfId="2516"/>
    <tableColumn id="2" name="عدد" dataDxfId="2512" totalsRowDxfId="251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358" totalsRowDxfId="2513"/>
    <tableColumn id="11" name="Column2" dataDxfId="2517" totalsRowDxfId="2518"/>
    <tableColumn id="10" name="Column1" dataDxfId="2514" totalsRowDxfId="2516"/>
    <tableColumn id="12" name="Column12" dataDxfId="1358" totalsRowDxfId="2515"/>
    <tableColumn id="4" name="الوحده" totalsRowLabel="total" dataDxfId="2519" totalsRowDxfId="2513"/>
    <tableColumn id="5" name="الوزن" dataDxfId="2517" totalsRowDxfId="1359"/>
    <tableColumn id="6" name="سعر الكيلو" dataDxfId="2514" totalsRowDxfId="2520"/>
    <tableColumn id="7" name="سعر الشبك " dataDxfId="1361" totalsRowDxfId="1362">
      <calculatedColumnFormula>Sheet2!B8</calculatedColumnFormula>
    </tableColumn>
    <tableColumn id="8" name="اجمالي" totalsRowFunction="sum" dataDxfId="1363" totalsRowDxfId="1364">
      <calculatedColumnFormula>B35*J35</calculatedColumnFormula>
    </tableColumn>
    <tableColumn id="9" name="%" totalsRowFunction="custom" totalsRowDxfId="1365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2580"/>
    <tableColumn id="2" name="Column2" dataDxfId="25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1392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2589"/>
    <tableColumn id="2" name="الناتج" dataDxfId="736"/>
    <tableColumn id="3" name="Column1" dataDxfId="13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259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2556" totalsRowDxfId="2520">
      <calculatedColumnFormula>I28</calculatedColumnFormula>
    </tableColumn>
    <tableColumn id="3" name="بيان" totalsRowLabel="Total" dataDxfId="706" totalsRowDxfId="2520"/>
    <tableColumn id="5" name="اليومية / الاجرة" dataDxfId="1371" totalsRowDxfId="2520"/>
    <tableColumn id="6" name="بدل الوجبة" dataDxfId="1372" totalsRowDxfId="2520"/>
    <tableColumn id="11" name="موقع العمل" dataDxfId="2557" totalsRowDxfId="2520">
      <calculatedColumnFormula>تسعير!$T$45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SUMIF(Table17[Column1],Table161243[[#This Row],[موقع العمل]],Table17[الاقامة])</calculatedColumnFormula>
    </tableColumn>
    <tableColumn id="4" name="عدد الايام" dataDxfId="2592" totalsRowDxfId="2520"/>
    <tableColumn id="7" name="اجمالي التكلفة للعامل" dataDxfId="2593" totalsRowDxfId="2594">
      <calculatedColumnFormula>Table161243[[#This Row],[Column12]]</calculatedColumnFormula>
    </tableColumn>
    <tableColumn id="8" name="اجمالي" totalsRowFunction="sum" dataDxfId="2559" totalsRowDxfId="2595">
      <calculatedColumnFormula>I31*Q31</calculatedColumnFormula>
    </tableColumn>
    <tableColumn id="9" name="%" totalsRowFunction="custom" totalsRowDxfId="1365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2557"/>
    <tableColumn id="4" name="Column22" dataDxfId="2557"/>
    <tableColumn id="5" name="Column23" dataDxfId="2557"/>
    <tableColumn id="3" name="Column3" dataDxfId="2596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254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2597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2541" totalsRowDxfId="2520">
      <calculatedColumnFormula>I61</calculatedColumnFormula>
    </tableColumn>
    <tableColumn id="3" name="بيان" totalsRowLabel="Total" dataDxfId="1396" totalsRowDxfId="2520"/>
    <tableColumn id="5" name="اليومية / الاجرة" dataDxfId="2598" totalsRowDxfId="2520"/>
    <tableColumn id="6" name="بدل الوجبة" dataDxfId="1372" totalsRowDxfId="2520"/>
    <tableColumn id="11" name="موقع العمل" dataDxfId="2557" totalsRowDxfId="2520">
      <calculatedColumnFormula>تسعير!$T$63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SUMIF(Table17[Column1],Table16124360[[#This Row],[موقع العمل]],Table17[الاقامة])</calculatedColumnFormula>
    </tableColumn>
    <tableColumn id="4" name="عدد الايام" dataDxfId="2576" totalsRowDxfId="2520"/>
    <tableColumn id="7" name="اجمالي التكلفة للعامل" dataDxfId="2577" totalsRowDxfId="2594">
      <calculatedColumnFormula>Table16124360[[#This Row],[Column12]]</calculatedColumnFormula>
    </tableColumn>
    <tableColumn id="8" name="اجمالي" totalsRowFunction="sum" dataDxfId="2559" totalsRowDxfId="2595">
      <calculatedColumnFormula>I64*Q64</calculatedColumnFormula>
    </tableColumn>
    <tableColumn id="9" name="%" totalsRowFunction="custom" totalsRowDxfId="259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2557"/>
    <tableColumn id="4" name="Column22" dataDxfId="2557"/>
    <tableColumn id="5" name="Column23" dataDxfId="2557"/>
    <tableColumn id="3" name="Column3" dataDxfId="2579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2533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Sheet2!B6</calculatedColumnFormula>
    </tableColumn>
    <tableColumn id="8" name="اجمالي" totalsRowFunction="sum" dataDxfId="2559" totalsRowDxfId="2595">
      <calculatedColumnFormula>M28*U28</calculatedColumnFormula>
    </tableColumn>
    <tableColumn id="9" name="%" totalsRowFunction="custom" totalsRowDxfId="2599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2512"/>
    <tableColumn id="2" name="عدد" dataDxfId="1358">
      <calculatedColumnFormula>IF((تسعير!X7&lt;800),0,IF(AND((تسعير!X7&gt;800),(600&gt;=تسعير!AA9)),1,0))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12">
      <calculatedColumnFormula>(Table14[[#This Row],[Column1]]+Table14[[#This Row],[Column2]])*12*Table14[[#This Row],[عدد]]</calculatedColumnFormula>
    </tableColumn>
    <tableColumn id="4" name="الوحده" dataDxfId="2521"/>
    <tableColumn id="5" name="الوزن" totalsRowFunction="custom">
      <totalsRowFormula>H12*B12+H13*B13</totalsRowFormula>
    </tableColumn>
    <tableColumn id="6" name="مسطح" dataDxfId="2517">
      <calculatedColumnFormula>Table14[[#This Row],[Column12]]*Table14[[#This Row],[عدد]]</calculatedColumnFormula>
    </tableColumn>
    <tableColumn id="7" name="سعر الشبك " dataDxfId="2522">
      <calculatedColumnFormula>H12*$I$2/1000</calculatedColumnFormula>
    </tableColumn>
    <tableColumn id="8" name="اجمالي" totalsRowFunction="sum" dataDxfId="2523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Sheet2!B26</calculatedColumnFormula>
    </tableColumn>
    <tableColumn id="8" name="اجمالي" totalsRowFunction="sum" dataDxfId="2559" totalsRowDxfId="2595">
      <calculatedColumnFormula>M14*U14</calculatedColumnFormula>
    </tableColumn>
    <tableColumn id="9" name="%" totalsRowFunction="custom" totalsRowDxfId="2599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(Table166273[[#This Row],[Column1]]*Table166273[[#This Row],[Column2]])*Table166273[[#This Row],[عدد]]</calculatedColumnFormula>
    </tableColumn>
    <tableColumn id="4" name="الوحده" dataDxfId="2521"/>
    <tableColumn id="5" name="الوزن" totalsRowFunction="custom">
      <totalsRowFormula>(S23*M23)+(M24*S24)</totalsRowFormula>
    </tableColumn>
    <tableColumn id="6" name="سعر الكيلو" dataDxfId="2567"/>
    <tableColumn id="7" name="سعر الشبك " dataDxfId="2583">
      <calculatedColumnFormula>S22*$S$2/1000</calculatedColumnFormula>
    </tableColumn>
    <tableColumn id="8" name="اجمالي" totalsRowFunction="sum" dataDxfId="2559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572"/>
    <tableColumn id="2" name="المعدل" dataDxfId="2572"/>
    <tableColumn id="3" name="الوحدة" dataDxfId="2572"/>
    <tableColumn id="4" name="Column4" dataDxfId="2600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572"/>
    <tableColumn id="2" name="Column2" dataDxfId="2561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2521" totalsRowDxfId="2520"/>
    <tableColumn id="2" name="عدد" dataDxfId="1369" totalsRowDxfId="2520">
      <calculatedColumnFormula>IF((تسعير!$AU$14="بالتات"),0,M49-2)</calculatedColumnFormula>
    </tableColumn>
    <tableColumn id="3" name="بيان" totalsRowLabel="Total" dataDxfId="2574" totalsRowDxfId="2520"/>
    <tableColumn id="5" name="اليومية / الاجرة" dataDxfId="2552" totalsRowDxfId="2520"/>
    <tableColumn id="6" name="بدل الوجبة" dataDxfId="2601" totalsRowDxfId="2520"/>
    <tableColumn id="11" name="موقع العمل" dataDxfId="2557" totalsRowDxfId="2520">
      <calculatedColumnFormula>تسعير!$AT$24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SUMIF(Table176978[Column1],Table16126776[[#This Row],[موقع العمل]],$AE$2:$AE$8)</calculatedColumnFormula>
    </tableColumn>
    <tableColumn id="4" name="عدد الايام" dataDxfId="1380" totalsRowDxfId="2520"/>
    <tableColumn id="7" name="اجمالي التكلفة للعامل" dataDxfId="1381" totalsRowDxfId="2594">
      <calculatedColumnFormula>Table16126776[[#This Row],[Column12]]</calculatedColumnFormula>
    </tableColumn>
    <tableColumn id="8" name="اجمالي" totalsRowFunction="sum" dataDxfId="2559" totalsRowDxfId="2595">
      <calculatedColumnFormula>M52*U52</calculatedColumnFormula>
    </tableColumn>
    <tableColumn id="9" name="%" totalsRowFunction="custom" totalsRowDxfId="2599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2557" totalsRowDxfId="2520"/>
    <tableColumn id="2" name="عدد" dataDxfId="2602" totalsRowDxfId="2520">
      <calculatedColumnFormula>IF((Q63="الاسكندرية"),0.25,0.1)</calculatedColumnFormula>
    </tableColumn>
    <tableColumn id="3" name="بيان" totalsRowLabel="Total" dataDxfId="2557" totalsRowDxfId="2520"/>
    <tableColumn id="11" name="Column2" dataDxfId="2557" totalsRowDxfId="2520"/>
    <tableColumn id="10" name="Column1" dataDxfId="2557" totalsRowDxfId="2520"/>
    <tableColumn id="12" name="Column12" totalsRowFunction="sum" dataDxfId="1384" totalsRowDxfId="2591"/>
    <tableColumn id="4" name="الوحده" dataDxfId="2548" totalsRowDxfId="2520"/>
    <tableColumn id="5" name="الوزن" dataDxfId="2557" totalsRowDxfId="2520"/>
    <tableColumn id="6" name="سعر الكيلو" dataDxfId="2557" totalsRowDxfId="2520"/>
    <tableColumn id="7" name="سعر الشبك " dataDxfId="2558" totalsRowDxfId="2594">
      <calculatedColumnFormula>Table80102114[[#Totals],[price]]</calculatedColumnFormula>
    </tableColumn>
    <tableColumn id="8" name="اجمالي" totalsRowFunction="sum" dataDxfId="2559" totalsRowDxfId="2595">
      <calculatedColumnFormula>M47*Table16136877[[#This Row],[سعر الشبك ]]</calculatedColumnFormula>
    </tableColumn>
    <tableColumn id="9" name="%" totalsRowFunction="custom" totalsRowDxfId="2599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IF((Q63="المقطم"),0.3,IF((Q63="التجمع"),0.3,IF((Q63="الشيخ زايد"),0.3,IF((Q63="الاسكندرية"),0.5,0.35))))</calculatedColumnFormula>
    </tableColumn>
    <tableColumn id="2" name="Column2" dataDxfId="2602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2521" totalsRowDxfId="2520"/>
    <tableColumn id="2" name="عدد" dataDxfId="2521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(Table15880[[#This Row],[Column1]]+Table15880[[#This Row],[Column2]])*12*Table15880[[#This Row],[عدد]]</calculatedColumnFormula>
    </tableColumn>
    <tableColumn id="4" name="الوحده" dataDxfId="2521" totalsRowDxfId="2520"/>
    <tableColumn id="5" name="الوزن" totalsRowFunction="custom" totalsRowDxfId="2520">
      <totalsRowFormula>(S6*M6)+(S7*M7)+(M8*S8)+(S9*M9)</totalsRowFormula>
    </tableColumn>
    <tableColumn id="6" name="اجمالي المسطح" totalsRowFunction="sum" dataDxfId="2567" totalsRowDxfId="2520">
      <calculatedColumnFormula>Table15880[[#This Row],[المسطح]]*Table15880[[#This Row],[عدد]]</calculatedColumnFormula>
    </tableColumn>
    <tableColumn id="7" name="سعر الشبك " dataDxfId="2603" totalsRowDxfId="2594">
      <calculatedColumnFormula>S6*$S$2/1000</calculatedColumnFormula>
    </tableColumn>
    <tableColumn id="8" name="اجمالي" totalsRowFunction="sum" dataDxfId="2559" totalsRowDxfId="2595">
      <calculatedColumnFormula>M6*U6</calculatedColumnFormula>
    </tableColumn>
    <tableColumn id="9" name="%" totalsRowFunction="custom" totalsRowDxfId="2599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2521" totalsRowDxfId="2520"/>
    <tableColumn id="2" name="عدد" dataDxfId="2567" totalsRowDxfId="2520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Sheet2!B6</calculatedColumnFormula>
    </tableColumn>
    <tableColumn id="8" name="اجمالي" totalsRowFunction="sum" dataDxfId="2559" totalsRowDxfId="2595">
      <calculatedColumnFormula>M99*U100</calculatedColumnFormula>
    </tableColumn>
    <tableColumn id="9" name="%" totalsRowFunction="custom" totalsRowDxfId="2599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2521" totalsRowDxfId="2520"/>
    <tableColumn id="2" name="عدد" dataDxfId="2514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1366" totalsRowDxfId="1367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1361" totalsRowDxfId="2524">
      <calculatedColumnFormula>Sheet2!B22</calculatedColumnFormula>
    </tableColumn>
    <tableColumn id="8" name="اجمالي" totalsRowFunction="sum" dataDxfId="1363" totalsRowDxfId="2525">
      <calculatedColumnFormula>B17*J17</calculatedColumnFormula>
    </tableColumn>
    <tableColumn id="9" name="%" totalsRowFunction="custom" totalsRowDxfId="2526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2521" totalsRowDxfId="2520"/>
    <tableColumn id="2" name="عدد" dataDxfId="2567" totalsRowDxfId="2520">
      <calculatedColumnFormula>IF((I70="بالتات"),0,4)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Sheet2!B26</calculatedColumnFormula>
    </tableColumn>
    <tableColumn id="8" name="اجمالي" totalsRowFunction="sum" dataDxfId="2559" totalsRowDxfId="2595">
      <calculatedColumnFormula>M85*U85</calculatedColumnFormula>
    </tableColumn>
    <tableColumn id="9" name="%" totalsRowFunction="custom" totalsRowDxfId="2599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2521"/>
    <tableColumn id="2" name="عدد" totalsRowFunction="sum" dataDxfId="2521">
      <calculatedColumnFormula>M91*4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(Table16627394[[#This Row],[Column1]]*Table16627394[[#This Row],[Column2]])*Table16627394[[#This Row],[عدد]]</calculatedColumnFormula>
    </tableColumn>
    <tableColumn id="4" name="الوحده" dataDxfId="2521"/>
    <tableColumn id="5" name="الوزن" totalsRowFunction="custom">
      <totalsRowFormula>(S94*M94)+(M95*S95)</totalsRowFormula>
    </tableColumn>
    <tableColumn id="6" name="سعر الكيلو" dataDxfId="2567"/>
    <tableColumn id="7" name="سعر الشبك " dataDxfId="2583">
      <calculatedColumnFormula>S93*$S$2/1000</calculatedColumnFormula>
    </tableColumn>
    <tableColumn id="8" name="اجمالي" totalsRowFunction="sum" dataDxfId="2559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572"/>
    <tableColumn id="2" name="المعدل" dataDxfId="2572"/>
    <tableColumn id="3" name="الوحدة" dataDxfId="2572"/>
    <tableColumn id="4" name="Column4" dataDxfId="2546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572"/>
    <tableColumn id="2" name="Column2" dataDxfId="2532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2521" totalsRowDxfId="2520"/>
    <tableColumn id="2" name="عدد" dataDxfId="2602" totalsRowDxfId="2520">
      <calculatedColumnFormula>IF((تسعير!$AU$14="بالتات"),0,M120-2)</calculatedColumnFormula>
    </tableColumn>
    <tableColumn id="3" name="بيان" totalsRowLabel="Total" dataDxfId="2604" totalsRowDxfId="2520"/>
    <tableColumn id="5" name="اليومية / الاجرة" dataDxfId="2598" totalsRowDxfId="2520"/>
    <tableColumn id="6" name="بدل الوجبة" dataDxfId="2575" totalsRowDxfId="2520"/>
    <tableColumn id="11" name="موقع العمل" dataDxfId="2557" totalsRowDxfId="2520">
      <calculatedColumnFormula>تسعير!$AT$44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SUMIF(Table17697899[Column1],Table1612677697[[#This Row],[موقع العمل]],$AE$2:$AE$8)</calculatedColumnFormula>
    </tableColumn>
    <tableColumn id="4" name="عدد الايام" dataDxfId="1380" totalsRowDxfId="2520"/>
    <tableColumn id="7" name="اجمالي التكلفة للعامل" dataDxfId="1381" totalsRowDxfId="2594">
      <calculatedColumnFormula>Table1612677697[[#This Row],[Column12]]</calculatedColumnFormula>
    </tableColumn>
    <tableColumn id="8" name="اجمالي" totalsRowFunction="sum" dataDxfId="2559" totalsRowDxfId="2595">
      <calculatedColumnFormula>M123*U123</calculatedColumnFormula>
    </tableColumn>
    <tableColumn id="9" name="%" totalsRowFunction="custom" totalsRowDxfId="2599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2557" totalsRowDxfId="2520"/>
    <tableColumn id="2" name="عدد" dataDxfId="2602" totalsRowDxfId="2520">
      <calculatedColumnFormula>IF((Q134="الاسكندرية"),0.25,0.1)</calculatedColumnFormula>
    </tableColumn>
    <tableColumn id="3" name="بيان" totalsRowLabel="Total" dataDxfId="2557" totalsRowDxfId="2520"/>
    <tableColumn id="11" name="Column2" dataDxfId="2557" totalsRowDxfId="2520"/>
    <tableColumn id="10" name="Column1" dataDxfId="2557" totalsRowDxfId="2520"/>
    <tableColumn id="12" name="Column12" totalsRowFunction="sum" dataDxfId="2605" totalsRowDxfId="2591"/>
    <tableColumn id="4" name="الوحده" dataDxfId="2534" totalsRowDxfId="2520"/>
    <tableColumn id="5" name="الوزن" dataDxfId="2557" totalsRowDxfId="2520"/>
    <tableColumn id="6" name="سعر الكيلو" dataDxfId="2557" totalsRowDxfId="2520"/>
    <tableColumn id="7" name="سعر الشبك " dataDxfId="1379" totalsRowDxfId="2594">
      <calculatedColumnFormula>F96</calculatedColumnFormula>
    </tableColumn>
    <tableColumn id="8" name="اجمالي" totalsRowFunction="sum" dataDxfId="2559" totalsRowDxfId="2595">
      <calculatedColumnFormula>M118*Table1613687798[[#This Row],[سعر الشبك ]]</calculatedColumnFormula>
    </tableColumn>
    <tableColumn id="9" name="%" totalsRowFunction="custom" totalsRowDxfId="2599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IF((Q134="المقطم"),0.3,IF((Q134="التجمع"),0.3,IF((Q134="الشيخ زايد"),0.3,IF((Q134="الاسكندرية"),0.5,0.35))))</calculatedColumnFormula>
    </tableColumn>
    <tableColumn id="2" name="Column2" dataDxfId="2602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2521" totalsRowDxfId="2520"/>
    <tableColumn id="2" name="عدد" dataDxfId="2521" totalsRowDxfId="2520">
      <calculatedColumnFormula>IF(OR((N70="B11"),(N70="B12"),(N70="B21"),(N70="B22"),(N70="B31"),(N70="B32")),3,0)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(Table15880101[[#This Row],[Column1]]+Table15880101[[#This Row],[Column2]])*12*Table15880101[[#This Row],[عدد]]</calculatedColumnFormula>
    </tableColumn>
    <tableColumn id="4" name="الوحده" dataDxfId="2521" totalsRowDxfId="2520"/>
    <tableColumn id="5" name="الوزن" totalsRowFunction="custom" totalsRowDxfId="2520">
      <totalsRowFormula>(S77*M77)+(S78*M78)+(M79*S79)+(S80*M80)</totalsRowFormula>
    </tableColumn>
    <tableColumn id="6" name="اجمالي المسطح" totalsRowFunction="sum" dataDxfId="2567" totalsRowDxfId="2520">
      <calculatedColumnFormula>Table15880101[[#This Row],[المسطح]]*Table15880101[[#This Row],[عدد]]</calculatedColumnFormula>
    </tableColumn>
    <tableColumn id="7" name="سعر الشبك " dataDxfId="1387" totalsRowDxfId="2594">
      <calculatedColumnFormula>S77*$S$2/1000</calculatedColumnFormula>
    </tableColumn>
    <tableColumn id="8" name="اجمالي" totalsRowFunction="sum" dataDxfId="2559" totalsRowDxfId="2595">
      <calculatedColumnFormula>M77*U77</calculatedColumnFormula>
    </tableColumn>
    <tableColumn id="9" name="%" totalsRowFunction="custom" totalsRowDxfId="2599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Sheet2!AW6</calculatedColumnFormula>
    </tableColumn>
    <tableColumn id="8" name="اجمالي" totalsRowFunction="sum" dataDxfId="2559" totalsRowDxfId="2595">
      <calculatedColumnFormula>BH28*BP28</calculatedColumnFormula>
    </tableColumn>
    <tableColumn id="9" name="%" totalsRowFunction="custom" totalsRowDxfId="2599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2521" totalsRowDxfId="2520"/>
    <tableColumn id="2" name="عدد" totalsRowFunction="count" dataDxfId="2521" totalsRowDxfId="2520">
      <calculatedColumnFormula>B29*4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totalsRowFunction="sum" dataDxfId="2527" totalsRowDxfId="2528">
      <calculatedColumnFormula>(Table16[[#This Row],[Column1]]*Table16[[#This Row],[Column2]])*Table16[[#This Row],[عدد]]</calculatedColumnFormula>
    </tableColumn>
    <tableColumn id="4" name="الوحده" dataDxfId="2521" totalsRowDxfId="2520"/>
    <tableColumn id="5" name="الوزن" totalsRowFunction="custom" totalsRowDxfId="2520">
      <totalsRowFormula>H30*B30+H31*B31</totalsRowFormula>
    </tableColumn>
    <tableColumn id="6" name="Column3" dataDxfId="2529" totalsRowDxfId="2520"/>
    <tableColumn id="7" name="سعر الشبك " dataDxfId="2530" totalsRowDxfId="1362">
      <calculatedColumnFormula>H30*$H$2/1000</calculatedColumnFormula>
    </tableColumn>
    <tableColumn id="8" name="اجمالي" totalsRowFunction="sum" dataDxfId="2531" totalsRowDxfId="1364">
      <calculatedColumnFormula>B30*J30</calculatedColumnFormula>
    </tableColumn>
    <tableColumn id="9" name="%" totalsRowFunction="custom" totalsRowDxfId="1365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Sheet2!AW26</calculatedColumnFormula>
    </tableColumn>
    <tableColumn id="8" name="اجمالي" totalsRowFunction="sum" dataDxfId="2559" totalsRowDxfId="2595">
      <calculatedColumnFormula>BH14*BP14</calculatedColumnFormula>
    </tableColumn>
    <tableColumn id="9" name="%" totalsRowFunction="custom" totalsRowDxfId="2599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2521"/>
    <tableColumn id="2" name="عدد" totalsRowFunction="count" dataDxfId="2521">
      <calculatedColumnFormula>BH20*4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(Table16627383[[#This Row],[Column1]]*Table16627383[[#This Row],[Column2]])*Table16627383[[#This Row],[عدد]]</calculatedColumnFormula>
    </tableColumn>
    <tableColumn id="4" name="الوحده" dataDxfId="2521"/>
    <tableColumn id="5" name="الوزن" totalsRowFunction="custom">
      <totalsRowFormula>(BN23*BH23)+(BH24*BN24)</totalsRowFormula>
    </tableColumn>
    <tableColumn id="6" name="سعر الكيلو" dataDxfId="2567"/>
    <tableColumn id="7" name="سعر الشبك " dataDxfId="2583">
      <calculatedColumnFormula>BN22*$S$2/1000</calculatedColumnFormula>
    </tableColumn>
    <tableColumn id="8" name="اجمالي" totalsRowFunction="sum" dataDxfId="2559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572"/>
    <tableColumn id="2" name="المعدل" dataDxfId="2572"/>
    <tableColumn id="3" name="الوحدة" dataDxfId="2572"/>
    <tableColumn id="4" name="Column4" dataDxfId="1368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572"/>
    <tableColumn id="2" name="Column2" dataDxfId="260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2521" totalsRowDxfId="2520"/>
    <tableColumn id="2" name="عدد" dataDxfId="2602" totalsRowDxfId="2520">
      <calculatedColumnFormula>IF((تسعير!$AU$14="بالتات"),0,BH48-2)</calculatedColumnFormula>
    </tableColumn>
    <tableColumn id="3" name="بيان" totalsRowLabel="Total" dataDxfId="2574" totalsRowDxfId="2520"/>
    <tableColumn id="5" name="اليومية / الاجرة" dataDxfId="2552" totalsRowDxfId="2520"/>
    <tableColumn id="6" name="بدل الوجبة" dataDxfId="2550" totalsRowDxfId="2520"/>
    <tableColumn id="11" name="موقع العمل" dataDxfId="2557" totalsRowDxfId="2520">
      <calculatedColumnFormula>تسعير!$AT$44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SUMIF(Table17697888[Column1],Table1612677686[[#This Row],[موقع العمل]],$AE$2:$AE$8)</calculatedColumnFormula>
    </tableColumn>
    <tableColumn id="4" name="عدد الايام" dataDxfId="2606" totalsRowDxfId="2520"/>
    <tableColumn id="7" name="اجمالي التكلفة للعامل" dataDxfId="2607" totalsRowDxfId="2594">
      <calculatedColumnFormula>Table1612677686[[#This Row],[Column12]]</calculatedColumnFormula>
    </tableColumn>
    <tableColumn id="8" name="اجمالي" totalsRowFunction="sum" dataDxfId="2559" totalsRowDxfId="2595">
      <calculatedColumnFormula>BH51*BP51</calculatedColumnFormula>
    </tableColumn>
    <tableColumn id="9" name="%" totalsRowFunction="custom" totalsRowDxfId="2599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2557"/>
    <tableColumn id="2" name="عدد" dataDxfId="2602">
      <calculatedColumnFormula>IF((BL62="الاسكندرية"),0.25,0.1)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2586"/>
    <tableColumn id="4" name="الوحده" dataDxfId="2608"/>
    <tableColumn id="5" name="الوزن" dataDxfId="2557"/>
    <tableColumn id="6" name="سعر الكيلو" dataDxfId="2557"/>
    <tableColumn id="7" name="سعر الشبك " dataDxfId="1379">
      <calculatedColumnFormula>BQ45</calculatedColumnFormula>
    </tableColumn>
    <tableColumn id="8" name="اجمالي" totalsRowFunction="sum" dataDxfId="2559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2557"/>
    <tableColumn id="4" name="Column22" dataDxfId="2557"/>
    <tableColumn id="5" name="Column23" dataDxfId="2557"/>
    <tableColumn id="3" name="Column3" dataDxfId="2609">
      <calculatedColumnFormula>IF((BL62="المقطم"),0.3,IF((BL62="التجمع"),0.3,IF((BL62="الشيخ زايد"),0.3,IF((BL62="الاسكندرية"),0.5,0.35))))</calculatedColumnFormula>
    </tableColumn>
    <tableColumn id="2" name="Column2" dataDxfId="2602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2521" totalsRowDxfId="2520"/>
    <tableColumn id="2" name="عدد" dataDxfId="2521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(Table1588090[[#This Row],[Column1]]+Table1588090[[#This Row],[Column2]])*12*Table1588090[[#This Row],[عدد]]</calculatedColumnFormula>
    </tableColumn>
    <tableColumn id="4" name="الوحده" dataDxfId="2521" totalsRowDxfId="2520"/>
    <tableColumn id="5" name="الوزن" totalsRowFunction="custom" totalsRowDxfId="2520">
      <totalsRowFormula>(BN6*BH6)+(BN7*BG7)+(BN8*BG8)+(BN9*BG9)</totalsRowFormula>
    </tableColumn>
    <tableColumn id="6" name="اجمالي المسطح" totalsRowFunction="sum" dataDxfId="2567" totalsRowDxfId="2520">
      <calculatedColumnFormula>Table1588090[[#This Row],[المسطح]]*Table1588090[[#This Row],[عدد]]</calculatedColumnFormula>
    </tableColumn>
    <tableColumn id="7" name="سعر الشبك " dataDxfId="2610" totalsRowDxfId="2594">
      <calculatedColumnFormula>BN6*$S$2/1000</calculatedColumnFormula>
    </tableColumn>
    <tableColumn id="8" name="اجمالي" totalsRowFunction="sum" dataDxfId="2559" totalsRowDxfId="2595">
      <calculatedColumnFormula>BH6*BP6</calculatedColumnFormula>
    </tableColumn>
    <tableColumn id="9" name="%" totalsRowFunction="custom" totalsRowDxfId="2599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397" totalsRowDxfId="133"/>
    <tableColumn id="4" name="Column2" dataDxfId="2611" totalsRowDxfId="1398"/>
    <tableColumn id="5" name="wt/m" dataDxfId="1397" totalsRowDxfId="2612"/>
    <tableColumn id="6" name="price" totalsRowFunction="sum" dataDxfId="2613" totalsRowDxfId="1398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17642.5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NO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14608.333333333332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40000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210000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190</v>
      </c>
    </row>
    <row r="23">
      <c r="A23" s="233" t="s">
        <v>80</v>
      </c>
      <c r="B23" s="559">
        <v>190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100</v>
      </c>
    </row>
    <row r="26">
      <c r="A26" s="233" t="s">
        <v>106</v>
      </c>
      <c r="B26" s="559">
        <v>220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700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750</v>
      </c>
    </row>
    <row r="36">
      <c r="A36" s="233" t="s">
        <v>232</v>
      </c>
      <c r="B36" s="559">
        <v>750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AB1:AD1" location="Royal!A1" display="مثبتة علي الحائط"/>
    <hyperlink ref="AC1:AE1" location="Royal!A1" display="مثبتة علي الحائط"/>
    <hyperlink ref="AD1:AF1" location="Royal!A1" display="مثبتة علي الحائط"/>
    <hyperlink ref="AE1:AG1" location="Royal!A1" display="مثبتة علي الحائط"/>
    <hyperlink ref="AF1:AH1" location="Royal!A1" display="مثبتة علي الحائط"/>
    <hyperlink ref="AG1:AI1" location="Royal!A1" display="مثبتة علي الحائط"/>
    <hyperlink ref="AH1:AJ1" location="Royal!A1" display="مثبتة علي الحائط"/>
    <hyperlink ref="AI1:AK1" location="Royal!A1" display="مثبتة علي الحائط"/>
    <hyperlink ref="AJ1:AL1" location="Royal!A1" display="مثبتة علي الحائط"/>
    <hyperlink ref="AK1:AM1" location="Royal!A1" display="مثبتة علي الحائط"/>
    <hyperlink ref="AL1:AN1" location="Royal!A1" display="مثبتة علي الحائط"/>
    <hyperlink ref="AM1:AO1" location="Royal!A1" display="مثبتة علي الحائط"/>
    <hyperlink ref="AN1:AP1" location="Royal!A1" display="مثبتة علي الحائط"/>
    <hyperlink ref="AO1:AQ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AB4:AD4" location="Royal2!A1" display="مثبتة غير علي الحائط"/>
    <hyperlink ref="AC4:AE4" location="Royal2!A1" display="مثبتة غير علي الحائط"/>
    <hyperlink ref="AD4:AF4" location="Royal2!A1" display="مثبتة غير علي الحائط"/>
    <hyperlink ref="AE4:AG4" location="Royal2!A1" display="مثبتة غير علي الحائط"/>
    <hyperlink ref="AF4:AH4" location="Royal2!A1" display="مثبتة غير علي الحائط"/>
    <hyperlink ref="AG4:AI4" location="Royal2!A1" display="مثبتة غير علي الحائط"/>
    <hyperlink ref="AH4:AJ4" location="Royal2!A1" display="مثبتة غير علي الحائط"/>
    <hyperlink ref="AI4:AK4" location="Royal2!A1" display="مثبتة غير علي الحائط"/>
    <hyperlink ref="AJ4:AL4" location="Royal2!A1" display="مثبتة غير علي الحائط"/>
    <hyperlink ref="AK4:AM4" location="Royal2!A1" display="مثبتة غير علي الحائط"/>
    <hyperlink ref="AL4:AN4" location="Royal2!A1" display="مثبتة غير علي الحائط"/>
    <hyperlink ref="AM4:AO4" location="Royal2!A1" display="مثبتة غير علي الحائط"/>
    <hyperlink ref="AN4:AP4" location="Royal2!A1" display="مثبتة غير علي الحائط"/>
    <hyperlink ref="AO4:AQ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2793.3200375938513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58659.720789470877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14349.212121212135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2572.0265780730865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7256.8965517241077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962.46153846154186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1138.5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29953.096789470874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11"/>
        <v>1500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40</v>
      </c>
      <c r="AB30" s="60">
        <f t="shared" si="11"/>
        <v>1500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22076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58659.720789470877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4000</v>
      </c>
      <c r="D7" s="182" t="s">
        <v>428</v>
      </c>
      <c r="E7" s="183">
        <f>تسعير!X31</f>
        <v>1700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 t="e">
        <f>'Format Φωτισμου (2)'!B9</f>
        <v>#VALUE!</v>
      </c>
    </row>
    <row r="19" ht="18" customHeight="1">
      <c r="A19" s="648" t="s">
        <v>435</v>
      </c>
      <c r="B19" s="649"/>
      <c r="C19" s="14" t="e">
        <f>'Format Φωτισμου (2)'!B12</f>
        <v>#VALUE!</v>
      </c>
    </row>
    <row r="20" ht="18" customHeight="1">
      <c r="A20" s="648" t="s">
        <v>436</v>
      </c>
      <c r="B20" s="649"/>
      <c r="C20" s="14" t="e">
        <f>C19/C18</f>
        <v>#VALUE!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 t="e">
        <f>C21/C18</f>
        <v>#VALUE!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8</v>
      </c>
      <c r="H27" s="185">
        <f>IF('Format (2)'!J8=3,تسجيل2!G27,IF('Format (2)'!J8=1,تسجيل2!G27-2,IF('Format (2)'!J8=2,تسجيل2!G27-1,IF('Format (2)'!J8=4,تسجيل2!G27+1,IF('Format (2)'!J8=5,تسجيل2!G27+2)))))</f>
        <v>8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9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9</v>
      </c>
      <c r="M29" s="15"/>
      <c r="O29" s="15"/>
    </row>
    <row r="30" ht="18" customHeight="1">
      <c r="A30" s="11" t="s">
        <v>312</v>
      </c>
      <c r="G30" s="185">
        <f>G27</f>
        <v>8</v>
      </c>
      <c r="H30" s="185">
        <f>IF('Format (2)'!M8=3,G30,IF('Format (2)'!M8=1,G30-2,IF('Format (2)'!M8=2,G30-1,IF('Format (2)'!M8=4,G30+1,IF('Format (2)'!M8=5,G30+2)))))</f>
        <v>8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4000</v>
      </c>
      <c r="L6" s="759"/>
      <c r="M6" s="94" t="s">
        <v>366</v>
      </c>
      <c r="N6" s="95">
        <f>تسجيل2!E7</f>
        <v>1700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680</v>
      </c>
      <c r="L7" s="732"/>
      <c r="M7" s="732"/>
      <c r="N7" s="98" t="s">
        <v>368</v>
      </c>
      <c r="O7" s="99" t="e">
        <f>AA41/K7</f>
        <v>#VALUE!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3999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1672</v>
      </c>
      <c r="O8" s="102" t="e">
        <f>O7*K7</f>
        <v>#VALUE!</v>
      </c>
      <c r="P8" s="103"/>
      <c r="Q8" s="103"/>
      <c r="R8" s="103"/>
      <c r="S8" s="103">
        <f>Sheet2!B16</f>
        <v>275</v>
      </c>
      <c r="T8" s="137">
        <f>((K8*N8)/10000)*1.2</f>
        <v>802.35935999999992</v>
      </c>
      <c r="U8" s="138">
        <f>T8*S8</f>
        <v>220648.824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8</v>
      </c>
      <c r="H11" s="743"/>
      <c r="I11" s="744">
        <f>'Format διαστασης οδηγου (2)'!F8</f>
        <v>1665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8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16.65</v>
      </c>
      <c r="U11" s="103">
        <f>CEILING(T11,0.5)</f>
        <v>17</v>
      </c>
      <c r="V11" s="103">
        <f>U11*S11</f>
        <v>136</v>
      </c>
      <c r="W11" s="140">
        <v>4.45627705627706</v>
      </c>
      <c r="X11" s="141">
        <f>($W$1/1000)*W11*V11</f>
        <v>139392.34632034646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571.64285714285711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5.7164285714285707</v>
      </c>
      <c r="U12" s="103">
        <f ref="U12:U21" t="shared" si="0">CEILING(T12,0.25)</f>
        <v>5.75</v>
      </c>
      <c r="V12" s="103">
        <f ref="V12:V20" t="shared" si="1">G12*S12</f>
        <v>16</v>
      </c>
      <c r="W12" s="140">
        <v>1.86378737541528</v>
      </c>
      <c r="X12" s="141">
        <f>($W$1/1000)*W12*V12</f>
        <v>6858.73754152823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10</v>
      </c>
      <c r="H13" s="718"/>
      <c r="I13" s="719">
        <f>IF(G13="-------","-------",L17-5)</f>
        <v>565.14285714285711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14.128571428571426</v>
      </c>
      <c r="U13" s="103">
        <f t="shared" si="0"/>
        <v>14.25</v>
      </c>
      <c r="V13" s="103">
        <f t="shared" si="1"/>
        <v>40</v>
      </c>
      <c r="W13" s="140">
        <v>1.86378737541528</v>
      </c>
      <c r="X13" s="141">
        <f ref="X13:X20" t="shared" si="7">($W$1/1000)*W13*V13</f>
        <v>17146.843853820577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 t="e">
        <f>IF(L11&gt;2,2*L14,IF(L11=2,L14))</f>
        <v>#VALUE!</v>
      </c>
      <c r="H14" s="718"/>
      <c r="I14" s="719">
        <f>I12</f>
        <v>571.64285714285711</v>
      </c>
      <c r="J14" s="719"/>
      <c r="K14" s="106"/>
      <c r="L14" s="109" t="e">
        <f>تسجيل2!H28</f>
        <v>#VALUE!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e">
        <f>IF(L11&lt;=3,"0",(L11-3)*L14)</f>
        <v>#VALUE!</v>
      </c>
      <c r="H15" s="718"/>
      <c r="I15" s="719" t="e">
        <f>IF(G15="-------","---------",I13)</f>
        <v>#VALUE!</v>
      </c>
      <c r="J15" s="719"/>
      <c r="K15" s="106"/>
      <c r="L15" s="106"/>
      <c r="M15" s="106"/>
      <c r="N15" s="106"/>
      <c r="O15" s="106"/>
      <c r="P15" s="103" t="e">
        <f t="shared" si="2"/>
        <v>#VALUE!</v>
      </c>
      <c r="Q15" s="103" t="e">
        <f t="shared" si="3"/>
        <v>#VALUE!</v>
      </c>
      <c r="R15" s="103" t="e">
        <f t="shared" si="4"/>
        <v>#VALUE!</v>
      </c>
      <c r="S15" s="103" t="e">
        <f t="shared" si="5"/>
        <v>#VALUE!</v>
      </c>
      <c r="T15" s="139" t="e">
        <f t="shared" si="6"/>
        <v>#VALUE!</v>
      </c>
      <c r="U15" s="103" t="e">
        <f>CEILING(T15,0.5)</f>
        <v>#VALUE!</v>
      </c>
      <c r="V15" s="103" t="e">
        <f t="shared" si="1"/>
        <v>#VALUE!</v>
      </c>
      <c r="W15" s="140">
        <v>1.05172413793103</v>
      </c>
      <c r="X15" s="141" t="e">
        <f t="shared" si="7"/>
        <v>#VALUE!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573.64285714285711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1.4341071428571428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1283.2820512820558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573.64285714285711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570.14285714285711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1.4341071428571428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1283.2820512820558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5</v>
      </c>
      <c r="H18" s="718"/>
      <c r="I18" s="719">
        <f>IF(G18="-------","-------",L17)</f>
        <v>570.14285714285711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7.1267857142857132</v>
      </c>
      <c r="U18" s="103">
        <f t="shared" si="0"/>
        <v>7.25</v>
      </c>
      <c r="V18" s="103">
        <f t="shared" si="1"/>
        <v>20</v>
      </c>
      <c r="W18" s="140">
        <v>1.3948717948718</v>
      </c>
      <c r="X18" s="141">
        <f t="shared" si="7"/>
        <v>6416.4102564102795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3997.5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7</v>
      </c>
      <c r="H20" s="724"/>
      <c r="I20" s="719">
        <f>L17-7</f>
        <v>563.14285714285711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9.855</v>
      </c>
      <c r="U20" s="103">
        <f t="shared" si="0"/>
        <v>10</v>
      </c>
      <c r="V20" s="103">
        <f t="shared" si="1"/>
        <v>28</v>
      </c>
      <c r="W20" s="103">
        <v>1.65</v>
      </c>
      <c r="X20" s="141">
        <f t="shared" si="7"/>
        <v>10626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8</v>
      </c>
      <c r="H21" s="710"/>
      <c r="I21" s="711">
        <f>(I11*2)+45</f>
        <v>3375</v>
      </c>
      <c r="J21" s="711"/>
      <c r="K21" s="106"/>
      <c r="L21" s="112">
        <f>IF(Format!E7=1,"-------",IF(Format!E7=5,"-------",تسجيل2!H30))</f>
        <v>8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270</v>
      </c>
      <c r="U21" s="142">
        <f t="shared" si="0"/>
        <v>270</v>
      </c>
      <c r="V21" s="142">
        <f>U21*S21</f>
        <v>270</v>
      </c>
      <c r="W21" s="142">
        <f>Sheet2!B17</f>
        <v>175</v>
      </c>
      <c r="X21" s="144">
        <f>W21*V21</f>
        <v>47250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8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1040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8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176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16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848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 t="e">
        <f>L14</f>
        <v>#VALUE!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8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3520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16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8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1"/>
        <v>32</v>
      </c>
      <c r="AB29" s="60">
        <f t="shared" si="10"/>
        <v>6000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 t="e">
        <f>L14*L11</f>
        <v>#VALUE!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8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 t="e">
        <f t="shared" si="11"/>
        <v>#VALUE!</v>
      </c>
      <c r="AB30" s="60">
        <f t="shared" si="10"/>
        <v>6000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 t="e">
        <f>(L14+N14)*2</f>
        <v>#VALUE!</v>
      </c>
      <c r="G31" s="71"/>
      <c r="H31" s="72">
        <v>23</v>
      </c>
      <c r="I31" s="702" t="s">
        <v>410</v>
      </c>
      <c r="J31" s="702"/>
      <c r="K31" s="702"/>
      <c r="L31" s="702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 t="e">
        <f>(L14+N14)*2</f>
        <v>#VALUE!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8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720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24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8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84</v>
      </c>
      <c r="AB33" s="60">
        <f t="shared" si="10"/>
        <v>1320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24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84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12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540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e">
        <f>IF(L11&gt;2,(L11-2)*L14,"0")</f>
        <v>#VALUE!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7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700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8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360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66.6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233.09999999999997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 t="e">
        <f>SUM(AA24:AB38)</f>
        <v>#VALUE!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 t="e">
        <f>AA39+X22+U8</f>
        <v>#VALUE!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3999</v>
      </c>
      <c r="L97" s="177" t="str">
        <f>M8</f>
        <v>Χ</v>
      </c>
      <c r="M97" s="682">
        <f>N8</f>
        <v>1672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4000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1700</v>
      </c>
      <c r="C19" s="31">
        <f>IF(B18&gt;2400,8,IF(B18&gt;2000,7,IF(B18&gt;1600,6,IF(B18&gt;1200,5,IF(B18&gt;800,4,IF(B18&gt;400,3,2))))))</f>
        <v>8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1700</v>
      </c>
      <c r="D31" s="34" t="s">
        <v>347</v>
      </c>
      <c r="E31" s="36" t="str">
        <f>H34</f>
        <v>N/A</v>
      </c>
      <c r="F31" s="34"/>
      <c r="G31" s="34"/>
      <c r="H31" s="35"/>
      <c r="I31" s="764" t="s">
        <v>346</v>
      </c>
      <c r="J31" s="765"/>
      <c r="K31" s="36">
        <f>B19</f>
        <v>1700</v>
      </c>
      <c r="L31" s="34" t="s">
        <v>347</v>
      </c>
      <c r="M31" s="36" t="str">
        <f>P34</f>
        <v>N/A</v>
      </c>
      <c r="N31" s="15"/>
      <c r="O31" s="34"/>
      <c r="P31" s="35"/>
      <c r="Q31" s="766" t="s">
        <v>346</v>
      </c>
      <c r="R31" s="767"/>
      <c r="S31" s="57">
        <f>B19</f>
        <v>1700</v>
      </c>
      <c r="T31" s="47" t="s">
        <v>348</v>
      </c>
      <c r="U31" s="57">
        <f>INT((S31-4)/25)+1</f>
        <v>68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1700</v>
      </c>
      <c r="E2" s="1">
        <f>تسجيل2!E7</f>
        <v>1700</v>
      </c>
      <c r="F2" s="1">
        <f>تسجيل2!E7</f>
        <v>1700</v>
      </c>
      <c r="G2" s="1">
        <f>تسجيل2!E7</f>
        <v>1700</v>
      </c>
      <c r="H2" s="8">
        <f>تسجيل2!E7</f>
        <v>1700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1700</v>
      </c>
      <c r="E6" s="1">
        <f>IF(E3=0,E2,E2-E3-E4+10)</f>
        <v>1700</v>
      </c>
      <c r="F6" s="1">
        <f>IF(F3=0,F2,F2-F3-F4+10)</f>
        <v>1700</v>
      </c>
      <c r="G6" s="1">
        <f>IF(G3=0,G2,G2-G3-G4+10)</f>
        <v>1700</v>
      </c>
      <c r="H6" s="8">
        <f>IF(H3=0,H2,H2-H3-H4+10)</f>
        <v>1700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1700</v>
      </c>
      <c r="L6" s="10">
        <f>IF('Format (2)'!E8=1,تسجيل2!E7-30,IF('Format (2)'!E8=2,D7,IF('Format (2)'!E8=3,E7,IF('Format (2)'!E8=4,F7,IF('Format (2)'!E8=5,G7,IF('Format (2)'!E8=6,H7,"-----"))))))</f>
        <v>1670</v>
      </c>
    </row>
    <row r="7">
      <c r="A7" s="783"/>
      <c r="B7" s="784"/>
      <c r="C7" s="19" t="s">
        <v>278</v>
      </c>
      <c r="D7" s="6">
        <f>D6-30</f>
        <v>1670</v>
      </c>
      <c r="E7" s="6">
        <f>E6-17</f>
        <v>1683</v>
      </c>
      <c r="F7" s="6">
        <f>F6-30</f>
        <v>1670</v>
      </c>
      <c r="G7" s="6">
        <f>G6-17</f>
        <v>1683</v>
      </c>
      <c r="H7" s="9">
        <f>H6-30</f>
        <v>1670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1700</v>
      </c>
      <c r="E11" s="1">
        <f>تسجيل2!E7</f>
        <v>1700</v>
      </c>
      <c r="F11" s="1">
        <f>تسجيل2!E7</f>
        <v>1700</v>
      </c>
      <c r="G11" s="1">
        <f>تسجيل2!E7</f>
        <v>1700</v>
      </c>
      <c r="H11" s="8">
        <f>تسجيل2!E7</f>
        <v>1700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1700</v>
      </c>
      <c r="L14" s="10">
        <f>IF('Format (2)'!E8=1,تسجيل2!E7-30,IF('Format (2)'!E8=2,D16,IF('Format (2)'!E8=3,E16,IF('Format (2)'!E8=4,F16,IF('Format (2)'!E8=5,G16,IF('Format (2)'!E8=6,H16))))))</f>
        <v>1670</v>
      </c>
    </row>
    <row r="15">
      <c r="A15" s="787"/>
      <c r="B15" s="788"/>
      <c r="C15" s="10" t="s">
        <v>276</v>
      </c>
      <c r="D15" s="1">
        <f>IF(D12=0,D11,D11-D12-D13+11)</f>
        <v>1700</v>
      </c>
      <c r="E15" s="1">
        <f>IF(E12=0,E11,E11-E12-E13+11)</f>
        <v>1700</v>
      </c>
      <c r="F15" s="1">
        <f>IF(F12=0,F11,F11-F12-F13+11)</f>
        <v>1700</v>
      </c>
      <c r="G15" s="1">
        <f>IF(G12=0,G11,G11-G12-G13+11)</f>
        <v>1700</v>
      </c>
      <c r="H15" s="8">
        <f>IF(H12=0,H11,H11-H12-H13+11)</f>
        <v>1700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1670</v>
      </c>
      <c r="E16" s="6">
        <f>E15-17</f>
        <v>1683</v>
      </c>
      <c r="F16" s="6">
        <f>F15-30</f>
        <v>1670</v>
      </c>
      <c r="G16" s="6">
        <f>G15-17</f>
        <v>1683</v>
      </c>
      <c r="H16" s="9">
        <f>H15-30</f>
        <v>1670</v>
      </c>
      <c r="Q16" s="10">
        <f>IF('Format (2)'!A7=1,K6,IF('Format (2)'!A7=3,K6,IF('Format (2)'!A7=4,K23,IF('Format (2)'!A7=2,K23,IF('Format (2)'!A7=5,K14,"------")))))</f>
        <v>1700</v>
      </c>
      <c r="R16" s="10">
        <f>IF('Format (2)'!A7=1,L6,IF('Format (2)'!A7=3,L6,IF('Format (2)'!A7=4,L23,IF('Format (2)'!A7=2,L23+2,IF('Format (2)'!A7=5,L14,"------")))))</f>
        <v>1672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1700</v>
      </c>
      <c r="E20" s="1">
        <f>تسجيل2!E7</f>
        <v>1700</v>
      </c>
      <c r="F20" s="1">
        <f>تسجيل2!E7</f>
        <v>1700</v>
      </c>
      <c r="G20" s="1">
        <f>تسجيل2!E7</f>
        <v>1700</v>
      </c>
      <c r="H20" s="8">
        <f>تسجيل2!E7</f>
        <v>1700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1700</v>
      </c>
      <c r="L23" s="10">
        <f>IF('Format (2)'!E8=1,تسجيل2!E7-30,IF('Format (2)'!E8=2,D25,IF('Format (2)'!E8=3,E25,IF('Format (2)'!E8=4,F25,IF('Format (2)'!E8=5,G25,IF('Format (2)'!E8=6,H25))))))</f>
        <v>1670</v>
      </c>
    </row>
    <row r="24">
      <c r="A24" s="793"/>
      <c r="B24" s="794"/>
      <c r="C24" s="10" t="s">
        <v>276</v>
      </c>
      <c r="D24" s="1">
        <f>IF(D21=0,D20,D20-D21-D22+11)</f>
        <v>1700</v>
      </c>
      <c r="E24" s="1">
        <f>IF(E21=0,E20,E20-E21-E22+11)</f>
        <v>1700</v>
      </c>
      <c r="F24" s="1">
        <f>IF(F21=0,F20,F20-F21-F22+11)</f>
        <v>1700</v>
      </c>
      <c r="G24" s="1">
        <f>IF(G21=0,G20,G20-G21-G22+11)</f>
        <v>1700</v>
      </c>
      <c r="H24" s="8">
        <f>IF(H21=0,H20,H20-H21-H22+11)</f>
        <v>1700</v>
      </c>
    </row>
    <row r="25">
      <c r="A25" s="795"/>
      <c r="B25" s="796"/>
      <c r="C25" s="19" t="s">
        <v>278</v>
      </c>
      <c r="D25" s="6">
        <f>D24-30</f>
        <v>1670</v>
      </c>
      <c r="E25" s="6">
        <f>E24-13</f>
        <v>1687</v>
      </c>
      <c r="F25" s="6">
        <f>F24-30</f>
        <v>1670</v>
      </c>
      <c r="G25" s="6">
        <f>G24-13</f>
        <v>1687</v>
      </c>
      <c r="H25" s="9">
        <f>H24-30</f>
        <v>1670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4000</v>
      </c>
      <c r="J4" s="15">
        <v>4</v>
      </c>
      <c r="K4" s="15">
        <v>2</v>
      </c>
    </row>
    <row r="5">
      <c r="A5" s="1" t="s">
        <v>257</v>
      </c>
      <c r="B5" s="1">
        <f>تسجيل2!E7</f>
        <v>1700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283</v>
      </c>
      <c r="B6" s="1" t="e">
        <f>'Cutting Ro-2'!L14</f>
        <v>#VALUE!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288</v>
      </c>
      <c r="B9" s="1" t="e">
        <f>O8</f>
        <v>#VALUE!</v>
      </c>
      <c r="J9" s="15">
        <v>9</v>
      </c>
      <c r="K9" s="15">
        <v>4</v>
      </c>
    </row>
    <row r="10">
      <c r="A10" s="12" t="s">
        <v>289</v>
      </c>
      <c r="B10" s="13" t="e">
        <f>(((B4-(تسجيل2!C22*2))/200)+1)*B9</f>
        <v>#VALUE!</v>
      </c>
      <c r="C10" s="647" t="s">
        <v>290</v>
      </c>
      <c r="D10" s="647"/>
      <c r="E10" s="14" t="e">
        <f>ROUND(B10,0)</f>
        <v>#VALUE!</v>
      </c>
      <c r="J10" s="15">
        <v>10</v>
      </c>
      <c r="K10" s="15">
        <v>4</v>
      </c>
    </row>
    <row r="11">
      <c r="A11" s="12" t="s">
        <v>291</v>
      </c>
      <c r="B11" s="13" t="e">
        <f>E10/B9</f>
        <v>#VALUE!</v>
      </c>
      <c r="C11" s="647" t="s">
        <v>290</v>
      </c>
      <c r="D11" s="647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292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1700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1668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1668</v>
      </c>
      <c r="F8" s="1">
        <f>IF('Format (2)'!A7=1,C6,IF('Format (2)'!A7=2,C7,IF('Format (2)'!A7=3,C8,IF('Format (2)'!A7=4,C9,IF('Format (2)'!A7=5,C10)))))</f>
        <v>1665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1668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1700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1700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1700</v>
      </c>
      <c r="F16" s="1">
        <f>IF('Format (2)'!A7=1,C14,IF('Format (2)'!A7=2,C15,IF('Format (2)'!A7=3,C16,IF('Format (2)'!A7=4,C17,IF('Format (2)'!A7=5,C118)))))</f>
        <v>1700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1700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179703.83493946967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20535.625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83515.771710526315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99310.747877192989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8557.32547330808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6681.2617368421061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2837.4499393483711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 t="e">
        <f>Royal2!G85</f>
        <v>#VALUE!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22927.125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314388.10000000003</v>
      </c>
      <c r="AU22" s="472"/>
      <c r="BC22" s="406"/>
      <c r="BD22" s="464" t="s">
        <v>163</v>
      </c>
      <c r="BE22" s="465">
        <f>'بيرسا و لوفرز'!R140</f>
        <v>330274.10000000003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 t="e">
        <f>T22/(AA33*X31)*10000</f>
        <v>#VALUE!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15719.405000000003</v>
      </c>
      <c r="AU23" s="472"/>
      <c r="AV23" s="473"/>
      <c r="BC23" s="406"/>
      <c r="BD23" s="464" t="s">
        <v>127</v>
      </c>
      <c r="BE23" s="466">
        <f>BE22/(BE33*BE34/10000)</f>
        <v>16513.705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59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197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400</v>
      </c>
      <c r="BD25" s="418" t="s">
        <v>165</v>
      </c>
      <c r="BE25" s="419" t="s">
        <v>197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168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1700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191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192</v>
      </c>
      <c r="BA32" s="476"/>
      <c r="BD32" s="430" t="s">
        <v>187</v>
      </c>
      <c r="BE32" s="426" t="s">
        <v>192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4000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عرض البرجولة بشكل صحيح علما بان اقصي عرض هو 1200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209209.5</v>
      </c>
      <c r="AT37" s="621"/>
      <c r="BD37" s="620">
        <f>('بيرسا و لوفرز'!F97+'بيرسا و لوفرز'!V126+'بيرسا و لوفرز'!V134)*1.35</f>
        <v>209209.5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10460.475</v>
      </c>
      <c r="AT38" s="621"/>
      <c r="BD38" s="620">
        <f>BD37/(BE33*BE34/10000)</f>
        <v>10460.475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217441.445</v>
      </c>
      <c r="AU42" s="472"/>
      <c r="BD42" s="464" t="s">
        <v>163</v>
      </c>
      <c r="BE42" s="465">
        <f>'بيرسا و لوفرز'!BM139</f>
        <v>231884.445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78192.400000000009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13590.0903125</v>
      </c>
      <c r="AU43" s="472"/>
      <c r="AV43" s="473"/>
      <c r="BD43" s="464" t="s">
        <v>127</v>
      </c>
      <c r="BE43" s="466">
        <f>BE42/(BE53*BE54/10000)</f>
        <v>14492.7778125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3127.6960000000004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112025.02500000001</v>
      </c>
      <c r="AT57" s="619"/>
      <c r="BD57" s="618">
        <f>('بيرسا و لوفرز'!BA85+'بيرسا و لوفرز'!BP133+'بيرسا و لوفرز'!BQ125)*1.35</f>
        <v>112025.02500000001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7001.5640625000005</v>
      </c>
      <c r="AT58" s="610"/>
      <c r="BD58" s="609">
        <f>BD57/(BE53*BE54/10000)</f>
        <v>7001.5640625000005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101211.12000000001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4048.4448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I8:K10" location="تسعير!AQ38" display="تليسكوب"/>
    <hyperlink ref="J8:L10" location="تسعير!AQ38" display="تليسكوب"/>
    <hyperlink ref="K8:M10" location="تسعير!AQ38" display="تليسكوب"/>
    <hyperlink ref="L8:N10" location="تسعير!AQ38" display="تليسكوب"/>
    <hyperlink ref="M8:O10" location="تسعير!AQ38" display="تليسكوب"/>
    <hyperlink ref="N8:P10" location="تسعير!AQ38" display="تليسكوب"/>
    <hyperlink ref="O8:Q10" location="تسعير!AQ38" display="تليسكوب"/>
    <hyperlink ref="P8:R10" location="تسعير!AQ38" display="تليسكوب"/>
    <hyperlink ref="Q8:S10" location="تسعير!AQ38" display="تليسكوب"/>
    <hyperlink ref="R8:T10" location="تسعير!AQ38" display="تليسكوب"/>
    <hyperlink ref="S8:U10" location="تسعير!AQ38" display="تليسكوب"/>
    <hyperlink ref="T8:V10" location="تسعير!AQ38" display="تليسكوب"/>
    <hyperlink ref="U8:W10" location="تسعير!AQ38" display="تليسكوب"/>
    <hyperlink ref="V8:X10" location="تسعير!AQ38" display="تليسكوب"/>
    <hyperlink ref="W8:Y10" location="تسعير!AQ38" display="تليسكوب"/>
    <hyperlink ref="X8:Z10" location="تسعير!AQ38" display="تليسكوب"/>
    <hyperlink ref="Y8:AA10" location="تسعير!AQ38" display="تليسكوب"/>
    <hyperlink ref="Z8:AB10" location="تسعير!AQ38" display="تليسكوب"/>
    <hyperlink ref="AA8:AC10" location="تسعير!AQ38" display="تليسكوب"/>
    <hyperlink ref="AB8:AD10" location="تسعير!AQ38" display="تليسكوب"/>
    <hyperlink ref="AC8:AE10" location="تسعير!AQ38" display="تليسكوب"/>
    <hyperlink ref="AD8:AF10" location="تسعير!AQ38" display="تليسكوب"/>
    <hyperlink ref="AE8:AG10" location="تسعير!AQ38" display="تليسكوب"/>
    <hyperlink ref="AF8:AH10" location="تسعير!AQ38" display="تليسكوب"/>
    <hyperlink ref="AG8:AI10" location="تسعير!AQ38" display="تليسكوب"/>
    <hyperlink ref="AH8:AJ10" location="تسعير!AQ38" display="تليسكوب"/>
    <hyperlink ref="AI8:AK10" location="تسعير!AQ38" display="تليسكوب"/>
    <hyperlink ref="AJ8:AL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I9:K11" location="تسعير!AQ38" display="تليسكوب"/>
    <hyperlink ref="J9:L11" location="تسعير!AQ38" display="تليسكوب"/>
    <hyperlink ref="K9:M11" location="تسعير!AQ38" display="تليسكوب"/>
    <hyperlink ref="L9:N11" location="تسعير!AQ38" display="تليسكوب"/>
    <hyperlink ref="M9:O11" location="تسعير!AQ38" display="تليسكوب"/>
    <hyperlink ref="N9:P11" location="تسعير!AQ38" display="تليسكوب"/>
    <hyperlink ref="O9:Q11" location="تسعير!AQ38" display="تليسكوب"/>
    <hyperlink ref="P9:R11" location="تسعير!AQ38" display="تليسكوب"/>
    <hyperlink ref="Q9:S11" location="تسعير!AQ38" display="تليسكوب"/>
    <hyperlink ref="R9:T11" location="تسعير!AQ38" display="تليسكوب"/>
    <hyperlink ref="S9:U11" location="تسعير!AQ38" display="تليسكوب"/>
    <hyperlink ref="T9:V11" location="تسعير!AQ38" display="تليسكوب"/>
    <hyperlink ref="U9:W11" location="تسعير!AQ38" display="تليسكوب"/>
    <hyperlink ref="V9:X11" location="تسعير!AQ38" display="تليسكوب"/>
    <hyperlink ref="W9:Y11" location="تسعير!AQ38" display="تليسكوب"/>
    <hyperlink ref="X9:Z11" location="تسعير!AQ38" display="تليسكوب"/>
    <hyperlink ref="Y9:AA11" location="تسعير!AQ38" display="تليسكوب"/>
    <hyperlink ref="Z9:AB11" location="تسعير!AQ38" display="تليسكوب"/>
    <hyperlink ref="AA9:AC11" location="تسعير!AQ38" display="تليسكوب"/>
    <hyperlink ref="AB9:AD11" location="تسعير!AQ38" display="تليسكوب"/>
    <hyperlink ref="AC9:AE11" location="تسعير!AQ38" display="تليسكوب"/>
    <hyperlink ref="AD9:AF11" location="تسعير!AQ38" display="تليسكوب"/>
    <hyperlink ref="AE9:AG11" location="تسعير!AQ38" display="تليسكوب"/>
    <hyperlink ref="AF9:AH11" location="تسعير!AQ38" display="تليسكوب"/>
    <hyperlink ref="AG9:AI11" location="تسعير!AQ38" display="تليسكوب"/>
    <hyperlink ref="AH9:AJ11" location="تسعير!AQ38" display="تليسكوب"/>
    <hyperlink ref="AI9:AK11" location="تسعير!AQ38" display="تليسكوب"/>
    <hyperlink ref="AJ9:AL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I10:K12" location="تسعير!AQ38" display="تليسكوب"/>
    <hyperlink ref="J10:L12" location="تسعير!AQ38" display="تليسكوب"/>
    <hyperlink ref="K10:M12" location="تسعير!AQ38" display="تليسكوب"/>
    <hyperlink ref="L10:N12" location="تسعير!AQ38" display="تليسكوب"/>
    <hyperlink ref="M10:O12" location="تسعير!AQ38" display="تليسكوب"/>
    <hyperlink ref="N10:P12" location="تسعير!AQ38" display="تليسكوب"/>
    <hyperlink ref="O10:Q12" location="تسعير!AQ38" display="تليسكوب"/>
    <hyperlink ref="P10:R12" location="تسعير!AQ38" display="تليسكوب"/>
    <hyperlink ref="Q10:S12" location="تسعير!AQ38" display="تليسكوب"/>
    <hyperlink ref="R10:T12" location="تسعير!AQ38" display="تليسكوب"/>
    <hyperlink ref="S10:U12" location="تسعير!AQ38" display="تليسكوب"/>
    <hyperlink ref="T10:V12" location="تسعير!AQ38" display="تليسكوب"/>
    <hyperlink ref="U10:W12" location="تسعير!AQ38" display="تليسكوب"/>
    <hyperlink ref="V10:X12" location="تسعير!AQ38" display="تليسكوب"/>
    <hyperlink ref="W10:Y12" location="تسعير!AQ38" display="تليسكوب"/>
    <hyperlink ref="X10:Z12" location="تسعير!AQ38" display="تليسكوب"/>
    <hyperlink ref="Y10:AA12" location="تسعير!AQ38" display="تليسكوب"/>
    <hyperlink ref="Z10:AB12" location="تسعير!AQ38" display="تليسكوب"/>
    <hyperlink ref="AA10:AC12" location="تسعير!AQ38" display="تليسكوب"/>
    <hyperlink ref="AB10:AD12" location="تسعير!AQ38" display="تليسكوب"/>
    <hyperlink ref="AC10:AE12" location="تسعير!AQ38" display="تليسكوب"/>
    <hyperlink ref="AD10:AF12" location="تسعير!AQ38" display="تليسكوب"/>
    <hyperlink ref="AE10:AG12" location="تسعير!AQ38" display="تليسكوب"/>
    <hyperlink ref="AF10:AH12" location="تسعير!AQ38" display="تليسكوب"/>
    <hyperlink ref="AG10:AI12" location="تسعير!AQ38" display="تليسكوب"/>
    <hyperlink ref="AH10:AJ12" location="تسعير!AQ38" display="تليسكوب"/>
    <hyperlink ref="AI10:AK12" location="تسعير!AQ38" display="تليسكوب"/>
    <hyperlink ref="AJ10:AL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I11:K13" location="تسعير!AQ38" display="تليسكوب"/>
    <hyperlink ref="J11:L13" location="تسعير!AQ38" display="تليسكوب"/>
    <hyperlink ref="K11:M13" location="تسعير!AQ38" display="تليسكوب"/>
    <hyperlink ref="L11:N13" location="تسعير!AQ38" display="تليسكوب"/>
    <hyperlink ref="M11:O13" location="تسعير!AQ38" display="تليسكوب"/>
    <hyperlink ref="N11:P13" location="تسعير!AQ38" display="تليسكوب"/>
    <hyperlink ref="O11:Q13" location="تسعير!AQ38" display="تليسكوب"/>
    <hyperlink ref="P11:R13" location="تسعير!AQ38" display="تليسكوب"/>
    <hyperlink ref="Q11:S13" location="تسعير!AQ38" display="تليسكوب"/>
    <hyperlink ref="R11:T13" location="تسعير!AQ38" display="تليسكوب"/>
    <hyperlink ref="S11:U13" location="تسعير!AQ38" display="تليسكوب"/>
    <hyperlink ref="T11:V13" location="تسعير!AQ38" display="تليسكوب"/>
    <hyperlink ref="U11:W13" location="تسعير!AQ38" display="تليسكوب"/>
    <hyperlink ref="V11:X13" location="تسعير!AQ38" display="تليسكوب"/>
    <hyperlink ref="W11:Y13" location="تسعير!AQ38" display="تليسكوب"/>
    <hyperlink ref="X11:Z13" location="تسعير!AQ38" display="تليسكوب"/>
    <hyperlink ref="Y11:AA13" location="تسعير!AQ38" display="تليسكوب"/>
    <hyperlink ref="Z11:AB13" location="تسعير!AQ38" display="تليسكوب"/>
    <hyperlink ref="AA11:AC13" location="تسعير!AQ38" display="تليسكوب"/>
    <hyperlink ref="AB11:AD13" location="تسعير!AQ38" display="تليسكوب"/>
    <hyperlink ref="AC11:AE13" location="تسعير!AQ38" display="تليسكوب"/>
    <hyperlink ref="AD11:AF13" location="تسعير!AQ38" display="تليسكوب"/>
    <hyperlink ref="AE11:AG13" location="تسعير!AQ38" display="تليسكوب"/>
    <hyperlink ref="AF11:AH13" location="تسعير!AQ38" display="تليسكوب"/>
    <hyperlink ref="AG11:AI13" location="تسعير!AQ38" display="تليسكوب"/>
    <hyperlink ref="AH11:AJ13" location="تسعير!AQ38" display="تليسكوب"/>
    <hyperlink ref="AI11:AK13" location="تسعير!AQ38" display="تليسكوب"/>
    <hyperlink ref="AJ11:AL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I12:K14" location="تسعير!AQ38" display="تليسكوب"/>
    <hyperlink ref="J12:L14" location="تسعير!AQ38" display="تليسكوب"/>
    <hyperlink ref="K12:M14" location="تسعير!AQ38" display="تليسكوب"/>
    <hyperlink ref="L12:N14" location="تسعير!AQ38" display="تليسكوب"/>
    <hyperlink ref="M12:O14" location="تسعير!AQ38" display="تليسكوب"/>
    <hyperlink ref="N12:P14" location="تسعير!AQ38" display="تليسكوب"/>
    <hyperlink ref="O12:Q14" location="تسعير!AQ38" display="تليسكوب"/>
    <hyperlink ref="P12:R14" location="تسعير!AQ38" display="تليسكوب"/>
    <hyperlink ref="Q12:S14" location="تسعير!AQ38" display="تليسكوب"/>
    <hyperlink ref="R12:T14" location="تسعير!AQ38" display="تليسكوب"/>
    <hyperlink ref="S12" location="تسعير!X14" display="التثبيت"/>
    <hyperlink ref="T12:V14" location="تسعير!AQ38" display="تليسكوب"/>
    <hyperlink ref="U12:W14" location="تسعير!AQ38" display="تليسكوب"/>
    <hyperlink ref="V12:X14" location="تسعير!AQ38" display="تليسكوب"/>
    <hyperlink ref="W12:Y14" location="تسعير!AQ38" display="تليسكوب"/>
    <hyperlink ref="X12:Z14" location="تسعير!AQ38" display="تليسكوب"/>
    <hyperlink ref="Y12:AA14" location="تسعير!AQ38" display="تليسكوب"/>
    <hyperlink ref="Z12:AB14" location="تسعير!AQ38" display="تليسكوب"/>
    <hyperlink ref="AA12:AC14" location="تسعير!AQ38" display="تليسكوب"/>
    <hyperlink ref="AB12:AD14" location="تسعير!AQ38" display="تليسكوب"/>
    <hyperlink ref="AC12:AE14" location="تسعير!AQ38" display="تليسكوب"/>
    <hyperlink ref="AD12:AF14" location="تسعير!AQ38" display="تليسكوب"/>
    <hyperlink ref="AE12:AG14" location="تسعير!AQ38" display="تليسكوب"/>
    <hyperlink ref="AF12:AH14" location="تسعير!AQ38" display="تليسكوب"/>
    <hyperlink ref="AG12:AI14" location="تسعير!AQ38" display="تليسكوب"/>
    <hyperlink ref="AH12:AJ14" location="تسعير!AQ38" display="تليسكوب"/>
    <hyperlink ref="AI12:AK14" location="تسعير!AQ38" display="تليسكوب"/>
    <hyperlink ref="AJ12:AL14" location="تسعير!AQ38" display="تليسكوب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I13:K15" location="تسعير!AQ38" display="تليسكوب"/>
    <hyperlink ref="J13:L15" location="تسعير!AQ38" display="تليسكوب"/>
    <hyperlink ref="K13:M15" location="تسعير!AQ38" display="تليسكوب"/>
    <hyperlink ref="L13:N15" location="تسعير!AQ38" display="تليسكوب"/>
    <hyperlink ref="M13:O15" location="تسعير!AQ38" display="تليسكوب"/>
    <hyperlink ref="N13:P15" location="تسعير!AQ38" display="تليسكوب"/>
    <hyperlink ref="O13:Q15" location="تسعير!AQ38" display="تليسكوب"/>
    <hyperlink ref="P13:R15" location="تسعير!AQ38" display="تليسكوب"/>
    <hyperlink ref="Q13:S15" location="تسعير!AQ38" display="تليسكوب"/>
    <hyperlink ref="R13:T15" location="تسعير!AQ38" display="تليسكوب"/>
    <hyperlink ref="S13" location="تسعير!AA10" display="العرض cm"/>
    <hyperlink ref="T13:V15" location="تسعير!AQ38" display="تليسكوب"/>
    <hyperlink ref="U13:W15" location="تسعير!AQ38" display="تليسكوب"/>
    <hyperlink ref="V13:X15" location="تسعير!AQ38" display="تليسكوب"/>
    <hyperlink ref="W13:Y15" location="تسعير!AQ38" display="تليسكوب"/>
    <hyperlink ref="X13:Z15" location="تسعير!AQ38" display="تليسكوب"/>
    <hyperlink ref="Y13:AA15" location="تسعير!AQ38" display="تليسكوب"/>
    <hyperlink ref="Z13:AB15" location="تسعير!AQ38" display="تليسكوب"/>
    <hyperlink ref="AA13:AC15" location="تسعير!AQ38" display="تليسكوب"/>
    <hyperlink ref="AB13:AD15" location="تسعير!AQ38" display="تليسكوب"/>
    <hyperlink ref="AC13:AE15" location="تسعير!AQ38" display="تليسكوب"/>
    <hyperlink ref="AD13:AF15" location="تسعير!AQ38" display="تليسكوب"/>
    <hyperlink ref="AE13:AG15" location="تسعير!AQ38" display="تليسكوب"/>
    <hyperlink ref="AF13:AH15" location="تسعير!AQ38" display="تليسكوب"/>
    <hyperlink ref="AG13:AI15" location="تسعير!AQ38" display="تليسكوب"/>
    <hyperlink ref="AH13:AJ15" location="تسعير!AQ38" display="تليسكوب"/>
    <hyperlink ref="AI13:AK15" location="تسعير!AQ38" display="تليسكوب"/>
    <hyperlink ref="AJ13:AL15" location="تسعير!AQ38" display="تليسكوب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I14:K16" location="تسعير!AQ38" display="تليسكوب"/>
    <hyperlink ref="J14:L16" location="تسعير!AQ38" display="تليسكوب"/>
    <hyperlink ref="K14:M16" location="تسعير!AQ38" display="تليسكوب"/>
    <hyperlink ref="L14:N16" location="تسعير!AQ38" display="تليسكوب"/>
    <hyperlink ref="M14:O16" location="تسعير!AQ38" display="تليسكوب"/>
    <hyperlink ref="N14:P16" location="تسعير!AQ38" display="تليسكوب"/>
    <hyperlink ref="O14:Q16" location="تسعير!AQ38" display="تليسكوب"/>
    <hyperlink ref="P14:R16" location="تسعير!AQ38" display="تليسكوب"/>
    <hyperlink ref="Q14:S16" location="تسعير!AQ38" display="تليسكوب"/>
    <hyperlink ref="R14:T16" location="تسعير!AQ38" display="تليسكوب"/>
    <hyperlink ref="S14" location="تسعير!X8" display="الامتداد cm"/>
    <hyperlink ref="T14:V16" location="تسعير!AQ38" display="تليسكوب"/>
    <hyperlink ref="U14:W16" location="تسعير!AQ38" display="تليسكوب"/>
    <hyperlink ref="V14:X16" location="تسعير!AQ38" display="تليسكوب"/>
    <hyperlink ref="W14:Y16" location="تسعير!AQ38" display="تليسكوب"/>
    <hyperlink ref="X14:Z16" location="تسعير!AQ38" display="تليسكوب"/>
    <hyperlink ref="Y14:AA16" location="تسعير!AQ38" display="تليسكوب"/>
    <hyperlink ref="Z14:AB16" location="تسعير!AQ38" display="تليسكوب"/>
    <hyperlink ref="AA14:AC16" location="تسعير!AQ38" display="تليسكوب"/>
    <hyperlink ref="AB14:AD16" location="تسعير!AQ38" display="تليسكوب"/>
    <hyperlink ref="AC14:AE16" location="تسعير!AQ38" display="تليسكوب"/>
    <hyperlink ref="AD14:AF16" location="تسعير!AQ38" display="تليسكوب"/>
    <hyperlink ref="AE14:AG16" location="تسعير!AQ38" display="تليسكوب"/>
    <hyperlink ref="AF14:AH16" location="تسعير!AQ38" display="تليسكوب"/>
    <hyperlink ref="AG14:AI16" location="تسعير!AQ38" display="تليسكوب"/>
    <hyperlink ref="AH14:AJ16" location="تسعير!AQ38" display="تليسكوب"/>
    <hyperlink ref="AI14:AK16" location="تسعير!AQ38" display="تليسكوب"/>
    <hyperlink ref="AJ14:AL16" location="تسعير!AQ38" display="تليسكوب"/>
    <hyperlink ref="AS14" location="تسعير!BA12" display="الامتداد cm"/>
    <hyperlink ref="BD14" location="تسعير!BL12" display="الامتداد cm"/>
    <hyperlink ref="B15:D17" location="تسعير!AQ38" display="تليسكوب"/>
    <hyperlink ref="C15:E17" location="تسعير!AQ38" display="تليسكوب"/>
    <hyperlink ref="D15:F17" location="تسعير!AQ38" display="تليسكوب"/>
    <hyperlink ref="E15:G17" location="تسعير!AQ38" display="تليسكوب"/>
    <hyperlink ref="F15:H17" location="تسعير!AQ38" display="تليسكوب"/>
    <hyperlink ref="G15:I17" location="تسعير!AQ38" display="تليسكوب"/>
    <hyperlink ref="H15:J17" location="تسعير!AQ38" display="تليسكوب"/>
    <hyperlink ref="I15:K17" location="تسعير!AQ38" display="تليسكوب"/>
    <hyperlink ref="J15:L17" location="تسعير!AQ38" display="تليسكوب"/>
    <hyperlink ref="K15:M17" location="تسعير!AQ38" display="تليسكوب"/>
    <hyperlink ref="L15:N17" location="تسعير!AQ38" display="تليسكوب"/>
    <hyperlink ref="M15:O17" location="تسعير!AQ38" display="تليسكوب"/>
    <hyperlink ref="N15:P17" location="تسعير!AQ38" display="تليسكوب"/>
    <hyperlink ref="O15:Q17" location="تسعير!AQ38" display="تليسكوب"/>
    <hyperlink ref="P15:R17" location="تسعير!AQ38" display="تليسكوب"/>
    <hyperlink ref="Q15:S17" location="تسعير!AQ38" display="تليسكوب"/>
    <hyperlink ref="R15:T17" location="تسعير!AQ38" display="تليسكوب"/>
    <hyperlink ref="S15:U17" location="تسعير!AQ38" display="تليسكوب"/>
    <hyperlink ref="T15:V17" location="تسعير!AQ38" display="تليسكوب"/>
    <hyperlink ref="U15:W17" location="تسعير!AQ38" display="تليسكوب"/>
    <hyperlink ref="V15:X17" location="تسعير!AQ38" display="تليسكوب"/>
    <hyperlink ref="W15:Y17" location="تسعير!AQ38" display="تليسكوب"/>
    <hyperlink ref="X15:Z17" location="تسعير!AQ38" display="تليسكوب"/>
    <hyperlink ref="Y15:AA17" location="تسعير!AQ38" display="تليسكوب"/>
    <hyperlink ref="Z15:AB17" location="تسعير!AQ38" display="تليسكوب"/>
    <hyperlink ref="AA15:AC17" location="تسعير!AQ38" display="تليسكوب"/>
    <hyperlink ref="AB15:AD17" location="تسعير!AQ38" display="تليسكوب"/>
    <hyperlink ref="AC15:AE17" location="تسعير!AQ38" display="تليسكوب"/>
    <hyperlink ref="AD15:AF17" location="تسعير!AQ38" display="تليسكوب"/>
    <hyperlink ref="AE15:AG17" location="تسعير!AQ38" display="تليسكوب"/>
    <hyperlink ref="AF15:AH17" location="تسعير!AQ38" display="تليسكوب"/>
    <hyperlink ref="AG15:AI17" location="تسعير!AQ38" display="تليسكوب"/>
    <hyperlink ref="AH15:AJ17" location="تسعير!AQ38" display="تليسكوب"/>
    <hyperlink ref="AI15:AK17" location="تسعير!AQ38" display="تليسكوب"/>
    <hyperlink ref="AJ15:AL17" location="تسعير!AQ38" display="تليسكوب"/>
    <hyperlink ref="B16:D18" location="تسعير!AQ38" display="تليسكوب"/>
    <hyperlink ref="C16:E18" location="تسعير!AQ38" display="تليسكوب"/>
    <hyperlink ref="D16:F18" location="تسعير!AQ38" display="تليسكوب"/>
    <hyperlink ref="E16:G18" location="تسعير!AQ38" display="تليسكوب"/>
    <hyperlink ref="F16:H18" location="تسعير!AQ38" display="تليسكوب"/>
    <hyperlink ref="G16:I18" location="تسعير!AQ38" display="تليسكوب"/>
    <hyperlink ref="H16:J18" location="تسعير!AQ38" display="تليسكوب"/>
    <hyperlink ref="I16:K18" location="تسعير!AQ38" display="تليسكوب"/>
    <hyperlink ref="J16:L18" location="تسعير!AQ38" display="تليسكوب"/>
    <hyperlink ref="K16:M18" location="تسعير!AQ38" display="تليسكوب"/>
    <hyperlink ref="L16:N18" location="تسعير!AQ38" display="تليسكوب"/>
    <hyperlink ref="M16:O18" location="تسعير!AQ38" display="تليسكوب"/>
    <hyperlink ref="N16:P18" location="تسعير!AQ38" display="تليسكوب"/>
    <hyperlink ref="O16:Q18" location="تسعير!AQ38" display="تليسكوب"/>
    <hyperlink ref="P16:R18" location="تسعير!AQ38" display="تليسكوب"/>
    <hyperlink ref="Q16:S18" location="تسعير!AQ38" display="تليسكوب"/>
    <hyperlink ref="R16:T18" location="تسعير!AQ38" display="تليسكوب"/>
    <hyperlink ref="S16:U18" location="تسعير!AQ38" display="تليسكوب"/>
    <hyperlink ref="T16:V18" location="تسعير!AQ38" display="تليسكوب"/>
    <hyperlink ref="U16:W18" location="تسعير!AQ38" display="تليسكوب"/>
    <hyperlink ref="V16:X18" location="تسعير!AQ38" display="تليسكوب"/>
    <hyperlink ref="W16:Y18" location="تسعير!AQ38" display="تليسكوب"/>
    <hyperlink ref="X16:Z18" location="تسعير!AQ38" display="تليسكوب"/>
    <hyperlink ref="Y16:AA18" location="تسعير!AQ38" display="تليسكوب"/>
    <hyperlink ref="Z16:AB18" location="تسعير!AQ38" display="تليسكوب"/>
    <hyperlink ref="AA16:AC18" location="تسعير!AQ38" display="تليسكوب"/>
    <hyperlink ref="AB16:AD18" location="تسعير!AQ38" display="تليسكوب"/>
    <hyperlink ref="AC16:AE18" location="تسعير!AQ38" display="تليسكوب"/>
    <hyperlink ref="AD16:AF18" location="تسعير!AQ38" display="تليسكوب"/>
    <hyperlink ref="AE16:AG18" location="تسعير!AQ38" display="تليسكوب"/>
    <hyperlink ref="AF16:AH18" location="تسعير!AQ38" display="تليسكوب"/>
    <hyperlink ref="AG16:AI18" location="تسعير!AQ38" display="تليسكوب"/>
    <hyperlink ref="AH16:AJ18" location="تسعير!AQ38" display="تليسكوب"/>
    <hyperlink ref="AI16:AK18" location="تسعير!AQ38" display="تليسكوب"/>
    <hyperlink ref="AJ16:AL18" location="تسعير!AQ38" display="تليسكوب"/>
    <hyperlink ref="B17:D19" location="تسعير!AQ38" display="تليسكوب"/>
    <hyperlink ref="C17:E19" location="تسعير!AQ38" display="تليسكوب"/>
    <hyperlink ref="D17:F19" location="تسعير!AQ38" display="تليسكوب"/>
    <hyperlink ref="E17:G19" location="تسعير!AQ38" display="تليسكوب"/>
    <hyperlink ref="F17:H19" location="تسعير!AQ38" display="تليسكوب"/>
    <hyperlink ref="G17:I19" location="تسعير!AQ38" display="تليسكوب"/>
    <hyperlink ref="H17:J19" location="تسعير!AQ38" display="تليسكوب"/>
    <hyperlink ref="I17:K19" location="تسعير!AQ38" display="تليسكوب"/>
    <hyperlink ref="J17:L19" location="تسعير!AQ38" display="تليسكوب"/>
    <hyperlink ref="K17:M19" location="تسعير!AQ38" display="تليسكوب"/>
    <hyperlink ref="L17:N19" location="تسعير!AQ38" display="تليسكوب"/>
    <hyperlink ref="M17:O19" location="تسعير!AQ38" display="تليسكوب"/>
    <hyperlink ref="N17:P19" location="تسعير!AQ38" display="تليسكوب"/>
    <hyperlink ref="O17:Q19" location="تسعير!AQ38" display="تليسكوب"/>
    <hyperlink ref="P17:R19" location="تسعير!AQ38" display="تليسكوب"/>
    <hyperlink ref="Q17:S19" location="تسعير!AQ38" display="تليسكوب"/>
    <hyperlink ref="R17:T19" location="تسعير!AQ38" display="تليسكوب"/>
    <hyperlink ref="S17:U19" location="تسعير!AQ38" display="تليسكوب"/>
    <hyperlink ref="T17:V19" location="تسعير!AQ38" display="تليسكوب"/>
    <hyperlink ref="U17:W19" location="تسعير!AQ38" display="تليسكوب"/>
    <hyperlink ref="V17:X19" location="تسعير!AQ38" display="تليسكوب"/>
    <hyperlink ref="W17:Y19" location="تسعير!AQ38" display="تليسكوب"/>
    <hyperlink ref="X17:Z19" location="تسعير!AQ38" display="تليسكوب"/>
    <hyperlink ref="Y17:AA19" location="تسعير!AQ38" display="تليسكوب"/>
    <hyperlink ref="Z17:AB19" location="تسعير!AQ38" display="تليسكوب"/>
    <hyperlink ref="AA17:AC19" location="تسعير!AQ38" display="تليسكوب"/>
    <hyperlink ref="AB17:AD19" location="تسعير!AQ38" display="تليسكوب"/>
    <hyperlink ref="AC17:AE19" location="تسعير!AQ38" display="تليسكوب"/>
    <hyperlink ref="AD17:AF19" location="تسعير!AQ38" display="تليسكوب"/>
    <hyperlink ref="AE17:AG19" location="تسعير!AQ38" display="تليسكوب"/>
    <hyperlink ref="AF17:AH19" location="تسعير!AQ38" display="تليسكوب"/>
    <hyperlink ref="AG17:AI19" location="تسعير!AQ38" display="تليسكوب"/>
    <hyperlink ref="AH17:AJ19" location="تسعير!AQ38" display="تليسكوب"/>
    <hyperlink ref="AI17:AK19" location="تسعير!AQ38" display="تليسكوب"/>
    <hyperlink ref="AJ17:AL19" location="تسعير!AQ38" display="تليسكوب"/>
    <hyperlink ref="B18:D20" location="تسعير!AQ38" display="تليسكوب"/>
    <hyperlink ref="C18:E20" location="تسعير!AQ38" display="تليسكوب"/>
    <hyperlink ref="D18:F20" location="تسعير!AQ38" display="تليسكوب"/>
    <hyperlink ref="E18:G20" location="تسعير!AQ38" display="تليسكوب"/>
    <hyperlink ref="F18:H20" location="تسعير!AQ38" display="تليسكوب"/>
    <hyperlink ref="G18:I20" location="تسعير!AQ38" display="تليسكوب"/>
    <hyperlink ref="H18:J20" location="تسعير!AQ38" display="تليسكوب"/>
    <hyperlink ref="I18:K20" location="تسعير!AQ38" display="تليسكوب"/>
    <hyperlink ref="J18:L20" location="تسعير!AQ38" display="تليسكوب"/>
    <hyperlink ref="K18:M20" location="تسعير!AQ38" display="تليسكوب"/>
    <hyperlink ref="L18:N20" location="تسعير!AQ38" display="تليسكوب"/>
    <hyperlink ref="M18:O20" location="تسعير!AQ38" display="تليسكوب"/>
    <hyperlink ref="N18:P20" location="تسعير!AQ38" display="تليسكوب"/>
    <hyperlink ref="O18:Q20" location="تسعير!AQ38" display="تليسكوب"/>
    <hyperlink ref="P18:R20" location="تسعير!AQ38" display="تليسكوب"/>
    <hyperlink ref="Q18:S20" location="تسعير!AQ38" display="تليسكوب"/>
    <hyperlink ref="R18:T20" location="تسعير!AQ38" display="تليسكوب"/>
    <hyperlink ref="S18:U20" location="تسعير!AQ38" display="تليسكوب"/>
    <hyperlink ref="T18:V20" location="تسعير!AQ38" display="تليسكوب"/>
    <hyperlink ref="U18:W20" location="تسعير!AQ38" display="تليسكوب"/>
    <hyperlink ref="V18:X20" location="تسعير!AQ38" display="تليسكوب"/>
    <hyperlink ref="W18:Y20" location="تسعير!AQ38" display="تليسكوب"/>
    <hyperlink ref="X18:Z20" location="تسعير!AQ38" display="تليسكوب"/>
    <hyperlink ref="Y18:AA20" location="تسعير!AQ38" display="تليسكوب"/>
    <hyperlink ref="Z18:AB20" location="تسعير!AQ38" display="تليسكوب"/>
    <hyperlink ref="AA18:AC20" location="تسعير!AQ38" display="تليسكوب"/>
    <hyperlink ref="AB18:AD20" location="تسعير!AQ38" display="تليسكوب"/>
    <hyperlink ref="AC18:AE20" location="تسعير!AQ38" display="تليسكوب"/>
    <hyperlink ref="AD18:AF20" location="تسعير!AQ38" display="تليسكوب"/>
    <hyperlink ref="AE18:AG20" location="تسعير!AQ38" display="تليسكوب"/>
    <hyperlink ref="AF18:AH20" location="تسعير!AQ38" display="تليسكوب"/>
    <hyperlink ref="AG18:AI20" location="تسعير!AQ38" display="تليسكوب"/>
    <hyperlink ref="AH18:AJ20" location="تسعير!AQ38" display="تليسكوب"/>
    <hyperlink ref="AI18:AK20" location="تسعير!AQ38" display="تليسكوب"/>
    <hyperlink ref="AJ18:AL20" location="تسعير!AQ38" display="تليسكوب"/>
    <hyperlink ref="B19:D21" location="تسعير!AQ38" display="تليسكوب"/>
    <hyperlink ref="C19:E21" location="تسعير!AQ38" display="تليسكوب"/>
    <hyperlink ref="D19:F21" location="تسعير!AQ38" display="تليسكوب"/>
    <hyperlink ref="E19:G21" location="تسعير!AQ38" display="تليسكوب"/>
    <hyperlink ref="F19:H21" location="تسعير!AQ38" display="تليسكوب"/>
    <hyperlink ref="G19:I21" location="تسعير!AQ38" display="تليسكوب"/>
    <hyperlink ref="H19:J21" location="تسعير!AQ38" display="تليسكوب"/>
    <hyperlink ref="I19:K21" location="تسعير!AQ38" display="تليسكوب"/>
    <hyperlink ref="J19:L21" location="تسعير!AQ38" display="تليسكوب"/>
    <hyperlink ref="K19:M21" location="تسعير!AQ38" display="تليسكوب"/>
    <hyperlink ref="L19:N21" location="تسعير!AQ38" display="تليسكوب"/>
    <hyperlink ref="M19:O21" location="تسعير!AQ38" display="تليسكوب"/>
    <hyperlink ref="N19:P21" location="تسعير!AQ38" display="تليسكوب"/>
    <hyperlink ref="O19:Q21" location="تسعير!AQ38" display="تليسكوب"/>
    <hyperlink ref="P19:R21" location="تسعير!AQ38" display="تليسكوب"/>
    <hyperlink ref="Q19:S21" location="تسعير!AQ38" display="تليسكوب"/>
    <hyperlink ref="R19:T21" location="تسعير!AQ38" display="تليسكوب"/>
    <hyperlink ref="S19:U21" location="تسعير!AQ38" display="تليسكوب"/>
    <hyperlink ref="T19:V21" location="تسعير!AQ38" display="تليسكوب"/>
    <hyperlink ref="U19:W21" location="تسعير!AQ38" display="تليسكوب"/>
    <hyperlink ref="V19:X21" location="تسعير!AQ38" display="تليسكوب"/>
    <hyperlink ref="W19:Y21" location="تسعير!AQ38" display="تليسكوب"/>
    <hyperlink ref="X19:Z21" location="تسعير!AQ38" display="تليسكوب"/>
    <hyperlink ref="Y19:AA21" location="تسعير!AQ38" display="تليسكوب"/>
    <hyperlink ref="Z19:AB21" location="تسعير!AQ38" display="تليسكوب"/>
    <hyperlink ref="AA19:AC21" location="تسعير!AQ38" display="تليسكوب"/>
    <hyperlink ref="AB19:AD21" location="تسعير!AQ38" display="تليسكوب"/>
    <hyperlink ref="AC19:AE21" location="تسعير!AQ38" display="تليسكوب"/>
    <hyperlink ref="AD19:AF21" location="تسعير!AQ38" display="تليسكوب"/>
    <hyperlink ref="AE19:AG21" location="تسعير!AQ38" display="تليسكوب"/>
    <hyperlink ref="AF19:AH21" location="تسعير!AQ38" display="تليسكوب"/>
    <hyperlink ref="AG19:AI21" location="تسعير!AQ38" display="تليسكوب"/>
    <hyperlink ref="AH19:AJ21" location="تسعير!AQ38" display="تليسكوب"/>
    <hyperlink ref="AI19:AK21" location="تسعير!AQ38" display="تليسكوب"/>
    <hyperlink ref="AJ19:AL21" location="تسعير!AQ38" display="تليسكوب"/>
    <hyperlink ref="B20:D22" location="تسعير!AQ38" display="تليسكوب"/>
    <hyperlink ref="C20:E22" location="تسعير!AQ38" display="تليسكوب"/>
    <hyperlink ref="D20:F22" location="تسعير!AQ38" display="تليسكوب"/>
    <hyperlink ref="E20:G22" location="تسعير!AQ38" display="تليسكوب"/>
    <hyperlink ref="F20:H22" location="تسعير!AQ38" display="تليسكوب"/>
    <hyperlink ref="G20:I22" location="تسعير!AQ38" display="تليسكوب"/>
    <hyperlink ref="H20:J22" location="تسعير!AQ38" display="تليسكوب"/>
    <hyperlink ref="I20:K22" location="تسعير!AQ38" display="تليسكوب"/>
    <hyperlink ref="J20:L22" location="تسعير!AQ38" display="تليسكوب"/>
    <hyperlink ref="K20:M22" location="تسعير!AQ38" display="تليسكوب"/>
    <hyperlink ref="L20:N22" location="تسعير!AQ38" display="تليسكوب"/>
    <hyperlink ref="M20:O22" location="تسعير!AQ38" display="تليسكوب"/>
    <hyperlink ref="N20:P22" location="تسعير!AQ38" display="تليسكوب"/>
    <hyperlink ref="O20:Q22" location="تسعير!AQ38" display="تليسكوب"/>
    <hyperlink ref="P20:R22" location="تسعير!AQ38" display="تليسكوب"/>
    <hyperlink ref="Q20:S22" location="تسعير!AQ38" display="تليسكوب"/>
    <hyperlink ref="R20:T22" location="تسعير!AQ38" display="تليسكوب"/>
    <hyperlink ref="S20:U22" location="تسعير!AQ38" display="تليسكوب"/>
    <hyperlink ref="T20:V22" location="تسعير!AQ38" display="تليسكوب"/>
    <hyperlink ref="U20:W22" location="تسعير!AQ38" display="تليسكوب"/>
    <hyperlink ref="V20:X22" location="تسعير!AQ38" display="تليسكوب"/>
    <hyperlink ref="W20:Y22" location="تسعير!AQ38" display="تليسكوب"/>
    <hyperlink ref="X20:Z22" location="تسعير!AQ38" display="تليسكوب"/>
    <hyperlink ref="Y20:AA22" location="تسعير!AQ38" display="تليسكوب"/>
    <hyperlink ref="Z20:AB22" location="تسعير!AQ38" display="تليسكوب"/>
    <hyperlink ref="AA20:AC22" location="تسعير!AQ38" display="تليسكوب"/>
    <hyperlink ref="AB20:AD22" location="تسعير!AQ38" display="تليسكوب"/>
    <hyperlink ref="AC20:AE22" location="تسعير!AQ38" display="تليسكوب"/>
    <hyperlink ref="AD20:AF22" location="تسعير!AQ38" display="تليسكوب"/>
    <hyperlink ref="AE20:AG22" location="تسعير!AQ38" display="تليسكوب"/>
    <hyperlink ref="AF20:AH22" location="تسعير!AQ38" display="تليسكوب"/>
    <hyperlink ref="AG20:AI22" location="تسعير!AQ38" display="تليسكوب"/>
    <hyperlink ref="AH20:AJ22" location="تسعير!AQ38" display="تليسكوب"/>
    <hyperlink ref="AI20:AK22" location="تسعير!AQ38" display="تليسكوب"/>
    <hyperlink ref="AJ20:AL22" location="تسعير!AQ38" display="تليسكوب"/>
    <hyperlink ref="B21:D23" location="تسعير!AQ38" display="تليسكوب"/>
    <hyperlink ref="C21:E23" location="تسعير!AQ38" display="تليسكوب"/>
    <hyperlink ref="D21:F23" location="تسعير!AQ38" display="تليسكوب"/>
    <hyperlink ref="E21:G23" location="تسعير!AQ38" display="تليسكوب"/>
    <hyperlink ref="F21:H23" location="تسعير!AQ38" display="تليسكوب"/>
    <hyperlink ref="G21:I23" location="تسعير!AQ38" display="تليسكوب"/>
    <hyperlink ref="H21:J23" location="تسعير!AQ38" display="تليسكوب"/>
    <hyperlink ref="I21:K23" location="تسعير!AQ38" display="تليسكوب"/>
    <hyperlink ref="J21:L23" location="تسعير!AQ38" display="تليسكوب"/>
    <hyperlink ref="K21:M23" location="تسعير!AQ38" display="تليسكوب"/>
    <hyperlink ref="L21:N23" location="تسعير!AQ38" display="تليسكوب"/>
    <hyperlink ref="M21:O23" location="تسعير!AQ38" display="تليسكوب"/>
    <hyperlink ref="N21:P23" location="تسعير!AQ38" display="تليسكوب"/>
    <hyperlink ref="O21:Q23" location="تسعير!AQ38" display="تليسكوب"/>
    <hyperlink ref="P21:R23" location="تسعير!AQ38" display="تليسكوب"/>
    <hyperlink ref="Q21:S23" location="تسعير!AQ38" display="تليسكوب"/>
    <hyperlink ref="R21:T23" location="تسعير!AQ38" display="تليسكوب"/>
    <hyperlink ref="S21:U23" location="تسعير!AQ38" display="تليسكوب"/>
    <hyperlink ref="T21:V23" location="تسعير!AQ38" display="تليسكوب"/>
    <hyperlink ref="U21:W23" location="تسعير!AQ38" display="تليسكوب"/>
    <hyperlink ref="V21:X23" location="تسعير!AQ38" display="تليسكوب"/>
    <hyperlink ref="W21:Y23" location="تسعير!AQ38" display="تليسكوب"/>
    <hyperlink ref="X21:Z23" location="تسعير!AQ38" display="تليسكوب"/>
    <hyperlink ref="Y21:AA23" location="تسعير!AQ38" display="تليسكوب"/>
    <hyperlink ref="Z21:AB23" location="تسعير!AQ38" display="تليسكوب"/>
    <hyperlink ref="AA21:AC23" location="تسعير!AQ38" display="تليسكوب"/>
    <hyperlink ref="AB21:AD23" location="تسعير!AQ38" display="تليسكوب"/>
    <hyperlink ref="AC21:AE23" location="تسعير!AQ38" display="تليسكوب"/>
    <hyperlink ref="AD21:AF23" location="تسعير!AQ38" display="تليسكوب"/>
    <hyperlink ref="AE21:AG23" location="تسعير!AQ38" display="تليسكوب"/>
    <hyperlink ref="AF21:AH23" location="تسعير!AQ38" display="تليسكوب"/>
    <hyperlink ref="AG21:AI23" location="تسعير!AQ38" display="تليسكوب"/>
    <hyperlink ref="AH21:AJ23" location="تسعير!AQ38" display="تليسكوب"/>
    <hyperlink ref="AI21:AK23" location="تسعير!AQ38" display="تليسكوب"/>
    <hyperlink ref="AJ21:AL23" location="تسعير!AQ38" display="تليسكوب"/>
    <hyperlink ref="B22:D24" location="تسعير!AQ38" display="تليسكوب"/>
    <hyperlink ref="C22:E24" location="تسعير!AQ38" display="تليسكوب"/>
    <hyperlink ref="D22:F24" location="تسعير!AQ38" display="تليسكوب"/>
    <hyperlink ref="E22:G24" location="تسعير!AQ38" display="تليسكوب"/>
    <hyperlink ref="F22:H24" location="تسعير!AQ38" display="تليسكوب"/>
    <hyperlink ref="G22:I24" location="تسعير!AQ38" display="تليسكوب"/>
    <hyperlink ref="H22:J24" location="تسعير!AQ38" display="تليسكوب"/>
    <hyperlink ref="I22:K24" location="تسعير!AQ38" display="تليسكوب"/>
    <hyperlink ref="J22:L24" location="تسعير!AQ38" display="تليسكوب"/>
    <hyperlink ref="K22:M24" location="تسعير!AQ38" display="تليسكوب"/>
    <hyperlink ref="L22:N24" location="تسعير!AQ38" display="تليسكوب"/>
    <hyperlink ref="M22:O24" location="تسعير!AQ38" display="تليسكوب"/>
    <hyperlink ref="N22:P24" location="تسعير!AQ38" display="تليسكوب"/>
    <hyperlink ref="O22:Q24" location="تسعير!AQ38" display="تليسكوب"/>
    <hyperlink ref="P22:R24" location="تسعير!AQ38" display="تليسكوب"/>
    <hyperlink ref="Q22:S24" location="تسعير!AQ38" display="تليسكوب"/>
    <hyperlink ref="R22:T24" location="تسعير!AQ38" display="تليسكوب"/>
    <hyperlink ref="S22:U24" location="تسعير!AQ38" display="تليسكوب"/>
    <hyperlink ref="T22:V24" location="تسعير!AQ38" display="تليسكوب"/>
    <hyperlink ref="U22:W24" location="تسعير!AQ38" display="تليسكوب"/>
    <hyperlink ref="V22:X24" location="تسعير!AQ38" display="تليسكوب"/>
    <hyperlink ref="W22:Y24" location="تسعير!AQ38" display="تليسكوب"/>
    <hyperlink ref="X22:Z24" location="تسعير!AQ38" display="تليسكوب"/>
    <hyperlink ref="Y22:AA24" location="تسعير!AQ38" display="تليسكوب"/>
    <hyperlink ref="Z22:AB24" location="تسعير!AQ38" display="تليسكوب"/>
    <hyperlink ref="AA22:AC24" location="تسعير!AQ38" display="تليسكوب"/>
    <hyperlink ref="AB22:AD24" location="تسعير!AQ38" display="تليسكوب"/>
    <hyperlink ref="AC22:AE24" location="تسعير!AQ38" display="تليسكوب"/>
    <hyperlink ref="AD22:AF24" location="تسعير!AQ38" display="تليسكوب"/>
    <hyperlink ref="AE22:AG24" location="تسعير!AQ38" display="تليسكوب"/>
    <hyperlink ref="AF22:AH24" location="تسعير!AQ38" display="تليسكوب"/>
    <hyperlink ref="AG22:AI24" location="تسعير!AQ38" display="تليسكوب"/>
    <hyperlink ref="AH22:AJ24" location="تسعير!AQ38" display="تليسكوب"/>
    <hyperlink ref="AI22:AK24" location="تسعير!AQ38" display="تليسكوب"/>
    <hyperlink ref="AJ22:AL24" location="تسعير!AQ38" display="تليسكوب"/>
    <hyperlink ref="B23:D25" location="تسعير!AQ38" display="تليسكوب"/>
    <hyperlink ref="C23:E25" location="تسعير!AQ38" display="تليسكوب"/>
    <hyperlink ref="D23:F25" location="تسعير!AQ38" display="تليسكوب"/>
    <hyperlink ref="E23:G25" location="تسعير!AQ38" display="تليسكوب"/>
    <hyperlink ref="F23:H25" location="تسعير!AQ38" display="تليسكوب"/>
    <hyperlink ref="G23:I25" location="تسعير!AQ38" display="تليسكوب"/>
    <hyperlink ref="H23:J25" location="تسعير!AQ38" display="تليسكوب"/>
    <hyperlink ref="I23:K25" location="تسعير!AQ38" display="تليسكوب"/>
    <hyperlink ref="J23:L25" location="تسعير!AQ38" display="تليسكوب"/>
    <hyperlink ref="K23:M25" location="تسعير!AQ38" display="تليسكوب"/>
    <hyperlink ref="L23:N25" location="تسعير!AQ38" display="تليسكوب"/>
    <hyperlink ref="M23:O25" location="تسعير!AQ38" display="تليسكوب"/>
    <hyperlink ref="N23:P25" location="تسعير!AQ38" display="تليسكوب"/>
    <hyperlink ref="O23:Q25" location="تسعير!AQ38" display="تليسكوب"/>
    <hyperlink ref="P23:R25" location="تسعير!AQ38" display="تليسكوب"/>
    <hyperlink ref="Q23:S25" location="تسعير!AQ38" display="تليسكوب"/>
    <hyperlink ref="R23:T25" location="تسعير!AQ38" display="تليسكوب"/>
    <hyperlink ref="S23:U25" location="تسعير!AQ38" display="تليسكوب"/>
    <hyperlink ref="T23:V25" location="تسعير!AQ38" display="تليسكوب"/>
    <hyperlink ref="U23:W25" location="تسعير!AQ38" display="تليسكوب"/>
    <hyperlink ref="V23:X25" location="تسعير!AQ38" display="تليسكوب"/>
    <hyperlink ref="W23:Y25" location="تسعير!AQ38" display="تليسكوب"/>
    <hyperlink ref="X23:Z25" location="تسعير!AQ38" display="تليسكوب"/>
    <hyperlink ref="Y23:AA25" location="تسعير!AQ38" display="تليسكوب"/>
    <hyperlink ref="Z23:AB25" location="تسعير!AQ38" display="تليسكوب"/>
    <hyperlink ref="AA23:AC25" location="تسعير!AQ38" display="تليسكوب"/>
    <hyperlink ref="AB23:AD25" location="تسعير!AQ38" display="تليسكوب"/>
    <hyperlink ref="AC23:AE25" location="تسعير!AQ38" display="تليسكوب"/>
    <hyperlink ref="AD23:AF25" location="تسعير!AQ38" display="تليسكوب"/>
    <hyperlink ref="AE23:AG25" location="تسعير!AQ38" display="تليسكوب"/>
    <hyperlink ref="AF23:AH25" location="تسعير!AQ38" display="تليسكوب"/>
    <hyperlink ref="AG23:AI25" location="تسعير!AQ38" display="تليسكوب"/>
    <hyperlink ref="AH23:AJ25" location="تسعير!AQ38" display="تليسكوب"/>
    <hyperlink ref="AI23:AK25" location="تسعير!AQ38" display="تليسكوب"/>
    <hyperlink ref="AJ23:AL25" location="تسعير!AQ38" display="تليسكوب"/>
    <hyperlink ref="B24:D26" location="تسعير!AQ38" display="تليسكوب"/>
    <hyperlink ref="C24:E26" location="تسعير!AQ38" display="تليسكوب"/>
    <hyperlink ref="D24:F26" location="تسعير!AQ38" display="تليسكوب"/>
    <hyperlink ref="E24:G26" location="تسعير!AQ38" display="تليسكوب"/>
    <hyperlink ref="F24:H26" location="تسعير!AQ38" display="تليسكوب"/>
    <hyperlink ref="G24:I26" location="تسعير!AQ38" display="تليسكوب"/>
    <hyperlink ref="H24:J26" location="تسعير!AQ38" display="تليسكوب"/>
    <hyperlink ref="I24:K26" location="تسعير!AQ38" display="تليسكوب"/>
    <hyperlink ref="J24:L26" location="تسعير!AQ38" display="تليسكوب"/>
    <hyperlink ref="K24:M26" location="تسعير!AQ38" display="تليسكوب"/>
    <hyperlink ref="L24:N26" location="تسعير!AQ38" display="تليسكوب"/>
    <hyperlink ref="M24:O26" location="تسعير!AQ38" display="تليسكوب"/>
    <hyperlink ref="N24:P26" location="تسعير!AQ38" display="تليسكوب"/>
    <hyperlink ref="O24:Q26" location="تسعير!AQ38" display="تليسكوب"/>
    <hyperlink ref="P24:R26" location="تسعير!AQ38" display="تليسكوب"/>
    <hyperlink ref="Q24:S26" location="تسعير!AQ38" display="تليسكوب"/>
    <hyperlink ref="R24:T26" location="تسعير!AQ38" display="تليسكوب"/>
    <hyperlink ref="S24:U26" location="تسعير!AQ38" display="تليسكوب"/>
    <hyperlink ref="T24:V26" location="تسعير!AQ38" display="تليسكوب"/>
    <hyperlink ref="U24:W26" location="تسعير!AQ38" display="تليسكوب"/>
    <hyperlink ref="V24:X26" location="تسعير!AQ38" display="تليسكوب"/>
    <hyperlink ref="W24:Y26" location="تسعير!AQ38" display="تليسكوب"/>
    <hyperlink ref="X24:Z26" location="تسعير!AQ38" display="تليسكوب"/>
    <hyperlink ref="Y24:AA26" location="تسعير!AQ38" display="تليسكوب"/>
    <hyperlink ref="Z24:AB26" location="تسعير!AQ38" display="تليسكوب"/>
    <hyperlink ref="AA24:AC26" location="تسعير!AQ38" display="تليسكوب"/>
    <hyperlink ref="AB24:AD26" location="تسعير!AQ38" display="تليسكوب"/>
    <hyperlink ref="AC24:AE26" location="تسعير!AQ38" display="تليسكوب"/>
    <hyperlink ref="AD24:AF26" location="تسعير!AQ38" display="تليسكوب"/>
    <hyperlink ref="AE24:AG26" location="تسعير!AQ38" display="تليسكوب"/>
    <hyperlink ref="AF24:AH26" location="تسعير!AQ38" display="تليسكوب"/>
    <hyperlink ref="AG24:AI26" location="تسعير!AQ38" display="تليسكوب"/>
    <hyperlink ref="AH24:AJ26" location="تسعير!AQ38" display="تليسكوب"/>
    <hyperlink ref="AI24:AK26" location="تسعير!AQ38" display="تليسكوب"/>
    <hyperlink ref="AJ24:AL26" location="تسعير!AQ38" display="تليسكوب"/>
    <hyperlink ref="B25:D27" location="تسعير!AQ38" display="تليسكوب"/>
    <hyperlink ref="C25:E27" location="تسعير!AQ38" display="تليسكوب"/>
    <hyperlink ref="D25:F27" location="تسعير!AQ38" display="تليسكوب"/>
    <hyperlink ref="E25:G27" location="تسعير!AQ38" display="تليسكوب"/>
    <hyperlink ref="F25:H27" location="تسعير!AQ38" display="تليسكوب"/>
    <hyperlink ref="G25:I27" location="تسعير!AQ38" display="تليسكوب"/>
    <hyperlink ref="H25:J27" location="تسعير!AQ38" display="تليسكوب"/>
    <hyperlink ref="I25:K27" location="تسعير!AQ38" display="تليسكوب"/>
    <hyperlink ref="J25:L27" location="تسعير!AQ38" display="تليسكوب"/>
    <hyperlink ref="K25:M27" location="تسعير!AQ38" display="تليسكوب"/>
    <hyperlink ref="L25:N27" location="تسعير!AQ38" display="تليسكوب"/>
    <hyperlink ref="M25:O27" location="تسعير!AQ38" display="تليسكوب"/>
    <hyperlink ref="N25:P27" location="تسعير!AQ38" display="تليسكوب"/>
    <hyperlink ref="O25:Q27" location="تسعير!AQ38" display="تليسكوب"/>
    <hyperlink ref="P25:R27" location="تسعير!AQ38" display="تليسكوب"/>
    <hyperlink ref="Q25:S27" location="تسعير!AQ38" display="تليسكوب"/>
    <hyperlink ref="R25:T27" location="تسعير!AQ38" display="تليسكوب"/>
    <hyperlink ref="S25:U27" location="تسعير!AQ38" display="تليسكوب"/>
    <hyperlink ref="T25:V27" location="تسعير!AQ38" display="تليسكوب"/>
    <hyperlink ref="U25:W27" location="تسعير!AQ38" display="تليسكوب"/>
    <hyperlink ref="V25:X27" location="تسعير!AQ38" display="تليسكوب"/>
    <hyperlink ref="W25:Y27" location="تسعير!AQ38" display="تليسكوب"/>
    <hyperlink ref="X25:Z27" location="تسعير!AQ38" display="تليسكوب"/>
    <hyperlink ref="Y25:AA27" location="تسعير!AQ38" display="تليسكوب"/>
    <hyperlink ref="Z25:AB27" location="تسعير!AQ38" display="تليسكوب"/>
    <hyperlink ref="AA25:AC27" location="تسعير!AQ38" display="تليسكوب"/>
    <hyperlink ref="AB25:AD27" location="تسعير!AQ38" display="تليسكوب"/>
    <hyperlink ref="AC25:AE27" location="تسعير!AQ38" display="تليسكوب"/>
    <hyperlink ref="AD25:AF27" location="تسعير!AQ38" display="تليسكوب"/>
    <hyperlink ref="AE25:AG27" location="تسعير!AQ38" display="تليسكوب"/>
    <hyperlink ref="AF25:AH27" location="تسعير!AQ38" display="تليسكوب"/>
    <hyperlink ref="AG25:AI27" location="تسعير!AQ38" display="تليسكوب"/>
    <hyperlink ref="AH25:AJ27" location="تسعير!AQ38" display="تليسكوب"/>
    <hyperlink ref="AI25:AK27" location="تسعير!AQ38" display="تليسكوب"/>
    <hyperlink ref="AJ25:AL27" location="تسعير!AQ38" display="تليسكوب"/>
    <hyperlink ref="B26:D28" location="تسعير!AQ38" display="تليسكوب"/>
    <hyperlink ref="C26:E28" location="تسعير!AQ38" display="تليسكوب"/>
    <hyperlink ref="D26:F28" location="تسعير!AQ38" display="تليسكوب"/>
    <hyperlink ref="E26:G28" location="تسعير!AQ38" display="تليسكوب"/>
    <hyperlink ref="F26:H28" location="تسعير!AQ38" display="تليسكوب"/>
    <hyperlink ref="G26:I28" location="تسعير!AQ38" display="تليسكوب"/>
    <hyperlink ref="H26:J28" location="تسعير!AQ38" display="تليسكوب"/>
    <hyperlink ref="I26:K28" location="تسعير!AQ38" display="تليسكوب"/>
    <hyperlink ref="J26:L28" location="تسعير!AQ38" display="تليسكوب"/>
    <hyperlink ref="K26:M28" location="تسعير!AQ38" display="تليسكوب"/>
    <hyperlink ref="L26:N28" location="تسعير!AQ38" display="تليسكوب"/>
    <hyperlink ref="M26:O28" location="تسعير!AQ38" display="تليسكوب"/>
    <hyperlink ref="N26:P28" location="تسعير!AQ38" display="تليسكوب"/>
    <hyperlink ref="O26:Q28" location="تسعير!AQ38" display="تليسكوب"/>
    <hyperlink ref="P26:R28" location="تسعير!AQ38" display="تليسكوب"/>
    <hyperlink ref="Q26:S28" location="تسعير!AQ38" display="تليسكوب"/>
    <hyperlink ref="R26:T28" location="تسعير!AQ38" display="تليسكوب"/>
    <hyperlink ref="S26:U28" location="تسعير!AQ38" display="تليسكوب"/>
    <hyperlink ref="T26:V28" location="تسعير!AQ38" display="تليسكوب"/>
    <hyperlink ref="U26:W28" location="تسعير!AQ38" display="تليسكوب"/>
    <hyperlink ref="V26:X28" location="تسعير!AQ38" display="تليسكوب"/>
    <hyperlink ref="W26:Y28" location="تسعير!AQ38" display="تليسكوب"/>
    <hyperlink ref="X26:Z28" location="تسعير!AQ38" display="تليسكوب"/>
    <hyperlink ref="Y26:AA28" location="تسعير!AQ38" display="تليسكوب"/>
    <hyperlink ref="Z26:AB28" location="تسعير!AQ38" display="تليسكوب"/>
    <hyperlink ref="AA26:AC28" location="تسعير!AQ38" display="تليسكوب"/>
    <hyperlink ref="AB26:AD28" location="تسعير!AQ38" display="تليسكوب"/>
    <hyperlink ref="AC26:AE28" location="تسعير!AQ38" display="تليسكوب"/>
    <hyperlink ref="AD26:AF28" location="تسعير!AQ38" display="تليسكوب"/>
    <hyperlink ref="AE26:AG28" location="تسعير!AQ38" display="تليسكوب"/>
    <hyperlink ref="AF26:AH28" location="تسعير!AQ38" display="تليسكوب"/>
    <hyperlink ref="AG26:AI28" location="تسعير!AQ38" display="تليسكوب"/>
    <hyperlink ref="AH26:AJ28" location="تسعير!AQ38" display="تليسكوب"/>
    <hyperlink ref="AI26:AK28" location="تسعير!AQ38" display="تليسكوب"/>
    <hyperlink ref="AJ26:AL28" location="تسعير!AQ38" display="تليسكوب"/>
    <hyperlink ref="B27:D29" location="تسعير!AQ38" display="تليسكوب"/>
    <hyperlink ref="C27:E29" location="تسعير!AQ38" display="تليسكوب"/>
    <hyperlink ref="D27:F29" location="تسعير!AQ38" display="تليسكوب"/>
    <hyperlink ref="E27:G29" location="تسعير!AQ38" display="تليسكوب"/>
    <hyperlink ref="F27:H29" location="تسعير!AQ38" display="تليسكوب"/>
    <hyperlink ref="G27:I29" location="تسعير!AQ38" display="تليسكوب"/>
    <hyperlink ref="H27:J29" location="تسعير!AQ38" display="تليسكوب"/>
    <hyperlink ref="I27:K29" location="تسعير!AQ38" display="تليسكوب"/>
    <hyperlink ref="J27:L29" location="تسعير!AQ38" display="تليسكوب"/>
    <hyperlink ref="K27:M29" location="تسعير!AQ38" display="تليسكوب"/>
    <hyperlink ref="L27:N29" location="تسعير!AQ38" display="تليسكوب"/>
    <hyperlink ref="M27:O29" location="تسعير!AQ38" display="تليسكوب"/>
    <hyperlink ref="N27:P29" location="تسعير!AQ38" display="تليسكوب"/>
    <hyperlink ref="O27:Q29" location="تسعير!AQ38" display="تليسكوب"/>
    <hyperlink ref="P27:R29" location="تسعير!AQ38" display="تليسكوب"/>
    <hyperlink ref="Q27:S29" location="تسعير!AQ38" display="تليسكوب"/>
    <hyperlink ref="R27:T29" location="تسعير!AQ38" display="تليسكوب"/>
    <hyperlink ref="S27:U29" location="تسعير!AQ38" display="تليسكوب"/>
    <hyperlink ref="T27:V29" location="تسعير!AQ38" display="تليسكوب"/>
    <hyperlink ref="U27:W29" location="تسعير!AQ38" display="تليسكوب"/>
    <hyperlink ref="V27:X29" location="تسعير!AQ38" display="تليسكوب"/>
    <hyperlink ref="W27:Y29" location="تسعير!AQ38" display="تليسكوب"/>
    <hyperlink ref="X27:Z29" location="تسعير!AQ38" display="تليسكوب"/>
    <hyperlink ref="Y27:AA29" location="تسعير!AQ38" display="تليسكوب"/>
    <hyperlink ref="Z27:AB29" location="تسعير!AQ38" display="تليسكوب"/>
    <hyperlink ref="AA27:AC29" location="تسعير!AQ38" display="تليسكوب"/>
    <hyperlink ref="AB27:AD29" location="تسعير!AQ38" display="تليسكوب"/>
    <hyperlink ref="AC27:AE29" location="تسعير!AQ38" display="تليسكوب"/>
    <hyperlink ref="AD27:AF29" location="تسعير!AQ38" display="تليسكوب"/>
    <hyperlink ref="AE27:AG29" location="تسعير!AQ38" display="تليسكوب"/>
    <hyperlink ref="AF27:AH29" location="تسعير!AQ38" display="تليسكوب"/>
    <hyperlink ref="AG27:AI29" location="تسعير!AQ38" display="تليسكوب"/>
    <hyperlink ref="AH27:AJ29" location="تسعير!AQ38" display="تليسكوب"/>
    <hyperlink ref="AI27:AK29" location="تسعير!AQ38" display="تليسكوب"/>
    <hyperlink ref="AJ27:AL29" location="تسعير!AQ38" display="تليسكوب"/>
    <hyperlink ref="B28:D30" location="تسعير!AQ38" display="تليسكوب"/>
    <hyperlink ref="C28:E30" location="تسعير!AQ38" display="تليسكوب"/>
    <hyperlink ref="D28:F30" location="تسعير!AQ38" display="تليسكوب"/>
    <hyperlink ref="E28:G30" location="تسعير!AQ38" display="تليسكوب"/>
    <hyperlink ref="F28:H30" location="تسعير!AQ38" display="تليسكوب"/>
    <hyperlink ref="G28:I30" location="تسعير!AQ38" display="تليسكوب"/>
    <hyperlink ref="H28:J30" location="تسعير!AQ38" display="تليسكوب"/>
    <hyperlink ref="I28:K30" location="تسعير!AQ38" display="تليسكوب"/>
    <hyperlink ref="J28:L30" location="تسعير!AQ38" display="تليسكوب"/>
    <hyperlink ref="K28:M30" location="تسعير!AQ38" display="تليسكوب"/>
    <hyperlink ref="L28:N30" location="تسعير!AQ38" display="تليسكوب"/>
    <hyperlink ref="M28:O30" location="تسعير!AQ38" display="تليسكوب"/>
    <hyperlink ref="N28:P30" location="تسعير!AQ38" display="تليسكوب"/>
    <hyperlink ref="O28:Q30" location="تسعير!AQ38" display="تليسكوب"/>
    <hyperlink ref="P28:R30" location="تسعير!AQ38" display="تليسكوب"/>
    <hyperlink ref="Q28:S30" location="تسعير!AQ38" display="تليسكوب"/>
    <hyperlink ref="R28:T30" location="تسعير!AQ38" display="تليسكوب"/>
    <hyperlink ref="S28:U30" location="تسعير!AQ38" display="تليسكوب"/>
    <hyperlink ref="T28:V30" location="تسعير!AQ38" display="تليسكوب"/>
    <hyperlink ref="U28:W30" location="تسعير!AQ38" display="تليسكوب"/>
    <hyperlink ref="V28:X30" location="تسعير!AQ38" display="تليسكوب"/>
    <hyperlink ref="W28:Y30" location="تسعير!AQ38" display="تليسكوب"/>
    <hyperlink ref="X28:Z30" location="تسعير!AQ38" display="تليسكوب"/>
    <hyperlink ref="Y28:AA30" location="تسعير!AQ38" display="تليسكوب"/>
    <hyperlink ref="Z28:AB30" location="تسعير!AQ38" display="تليسكوب"/>
    <hyperlink ref="AA28:AC30" location="تسعير!AQ38" display="تليسكوب"/>
    <hyperlink ref="AB28:AD30" location="تسعير!AQ38" display="تليسكوب"/>
    <hyperlink ref="AC28:AE30" location="تسعير!AQ38" display="تليسكوب"/>
    <hyperlink ref="AD28:AF30" location="تسعير!AQ38" display="تليسكوب"/>
    <hyperlink ref="AE28:AG30" location="تسعير!AQ38" display="تليسكوب"/>
    <hyperlink ref="AF28:AH30" location="تسعير!AQ38" display="تليسكوب"/>
    <hyperlink ref="AG28:AI30" location="تسعير!AQ38" display="تليسكوب"/>
    <hyperlink ref="AH28:AJ30" location="تسعير!AQ38" display="تليسكوب"/>
    <hyperlink ref="AI28:AK30" location="تسعير!AQ38" display="تليسكوب"/>
    <hyperlink ref="AJ28:AL30" location="تسعير!AQ38" display="تليسكوب"/>
    <hyperlink ref="B29:D31" location="تسعير!AQ38" display="تليسكوب"/>
    <hyperlink ref="C29:E31" location="تسعير!AQ38" display="تليسكوب"/>
    <hyperlink ref="D29:F31" location="تسعير!AQ38" display="تليسكوب"/>
    <hyperlink ref="E29:G31" location="تسعير!AQ38" display="تليسكوب"/>
    <hyperlink ref="F29:H31" location="تسعير!AQ38" display="تليسكوب"/>
    <hyperlink ref="G29:I31" location="تسعير!AQ38" display="تليسكوب"/>
    <hyperlink ref="H29:J31" location="تسعير!AQ38" display="تليسكوب"/>
    <hyperlink ref="I29:K31" location="تسعير!AQ38" display="تليسكوب"/>
    <hyperlink ref="J29:L31" location="تسعير!AQ38" display="تليسكوب"/>
    <hyperlink ref="K29:M31" location="تسعير!AQ38" display="تليسكوب"/>
    <hyperlink ref="L29:N31" location="تسعير!AQ38" display="تليسكوب"/>
    <hyperlink ref="M29:O31" location="تسعير!AQ38" display="تليسكوب"/>
    <hyperlink ref="N29:P31" location="تسعير!AQ38" display="تليسكوب"/>
    <hyperlink ref="O29:Q31" location="تسعير!AQ38" display="تليسكوب"/>
    <hyperlink ref="P29:R31" location="تسعير!AQ38" display="تليسكوب"/>
    <hyperlink ref="Q29:S31" location="تسعير!AQ38" display="تليسكوب"/>
    <hyperlink ref="R29:T31" location="تسعير!AQ38" display="تليسكوب"/>
    <hyperlink ref="S29:U31" location="تسعير!AQ38" display="تليسكوب"/>
    <hyperlink ref="T29:V31" location="تسعير!AQ38" display="تليسكوب"/>
    <hyperlink ref="U29:W31" location="تسعير!AQ38" display="تليسكوب"/>
    <hyperlink ref="V29:X31" location="تسعير!AQ38" display="تليسكوب"/>
    <hyperlink ref="W29:Y31" location="تسعير!AQ38" display="تليسكوب"/>
    <hyperlink ref="X29:Z31" location="تسعير!AQ38" display="تليسكوب"/>
    <hyperlink ref="Y29:AA31" location="تسعير!AQ38" display="تليسكوب"/>
    <hyperlink ref="Z29:AB31" location="تسعير!AQ38" display="تليسكوب"/>
    <hyperlink ref="AA29:AC31" location="تسعير!AQ38" display="تليسكوب"/>
    <hyperlink ref="AB29:AD31" location="تسعير!AQ38" display="تليسكوب"/>
    <hyperlink ref="AC29:AE31" location="تسعير!AQ38" display="تليسكوب"/>
    <hyperlink ref="AD29:AF31" location="تسعير!AQ38" display="تليسكوب"/>
    <hyperlink ref="AE29:AG31" location="تسعير!AQ38" display="تليسكوب"/>
    <hyperlink ref="AF29:AH31" location="تسعير!AQ38" display="تليسكوب"/>
    <hyperlink ref="AG29:AI31" location="تسعير!AQ38" display="تليسكوب"/>
    <hyperlink ref="AH29:AJ31" location="تسعير!AQ38" display="تليسكوب"/>
    <hyperlink ref="AI29:AK31" location="تسعير!AQ38" display="تليسكوب"/>
    <hyperlink ref="AJ29:AL31" location="تسعير!AQ38" display="تليسكوب"/>
    <hyperlink ref="B30:D32" location="تسعير!AQ38" display="تليسكوب"/>
    <hyperlink ref="C30:E32" location="تسعير!AQ38" display="تليسكوب"/>
    <hyperlink ref="D30:F32" location="تسعير!AQ38" display="تليسكوب"/>
    <hyperlink ref="E30:G32" location="تسعير!AQ38" display="تليسكوب"/>
    <hyperlink ref="F30:H32" location="تسعير!AQ38" display="تليسكوب"/>
    <hyperlink ref="G30:I32" location="تسعير!AQ38" display="تليسكوب"/>
    <hyperlink ref="H30:J32" location="تسعير!AQ38" display="تليسكوب"/>
    <hyperlink ref="I30:K32" location="تسعير!AQ38" display="تليسكوب"/>
    <hyperlink ref="J30:L32" location="تسعير!AQ38" display="تليسكوب"/>
    <hyperlink ref="K30:M32" location="تسعير!AQ38" display="تليسكوب"/>
    <hyperlink ref="L30:N32" location="تسعير!AQ38" display="تليسكوب"/>
    <hyperlink ref="M30:O32" location="تسعير!AQ38" display="تليسكوب"/>
    <hyperlink ref="N30:P32" location="تسعير!AQ38" display="تليسكوب"/>
    <hyperlink ref="O30:Q32" location="تسعير!AQ38" display="تليسكوب"/>
    <hyperlink ref="P30:R32" location="تسعير!AQ38" display="تليسكوب"/>
    <hyperlink ref="Q30:S32" location="تسعير!AQ38" display="تليسكوب"/>
    <hyperlink ref="R30:T32" location="تسعير!AQ38" display="تليسكوب"/>
    <hyperlink ref="S30" location="تسعير!AF31" display="الارتفاع الخلفي"/>
    <hyperlink ref="T30:V32" location="تسعير!AQ38" display="تليسكوب"/>
    <hyperlink ref="U30:W32" location="تسعير!AQ38" display="تليسكوب"/>
    <hyperlink ref="V30:X32" location="تسعير!AQ38" display="تليسكوب"/>
    <hyperlink ref="W30:Y32" location="تسعير!AQ38" display="تليسكوب"/>
    <hyperlink ref="X30:Z32" location="تسعير!AQ38" display="تليسكوب"/>
    <hyperlink ref="Y30:AA32" location="تسعير!AQ38" display="تليسكوب"/>
    <hyperlink ref="Z30:AB32" location="تسعير!AQ38" display="تليسكوب"/>
    <hyperlink ref="AA30:AC32" location="تسعير!AQ38" display="تليسكوب"/>
    <hyperlink ref="AB30:AD32" location="تسعير!AQ38" display="تليسكوب"/>
    <hyperlink ref="AC30:AE32" location="تسعير!AQ38" display="تليسكوب"/>
    <hyperlink ref="AD30:AF32" location="تسعير!AQ38" display="تليسكوب"/>
    <hyperlink ref="AE30:AG32" location="تسعير!AQ38" display="تليسكوب"/>
    <hyperlink ref="AF30:AH32" location="تسعير!AQ38" display="تليسكوب"/>
    <hyperlink ref="AG30:AI32" location="تسعير!AQ38" display="تليسكوب"/>
    <hyperlink ref="AH30:AJ32" location="تسعير!AQ38" display="تليسكوب"/>
    <hyperlink ref="AI30:AK32" location="تسعير!AQ38" display="تليسكوب"/>
    <hyperlink ref="AJ30:AL32" location="تسعير!AQ38" display="تليسكوب"/>
    <hyperlink ref="B31:D33" location="تسعير!AQ38" display="تليسكوب"/>
    <hyperlink ref="C31:E33" location="تسعير!AQ38" display="تليسكوب"/>
    <hyperlink ref="D31:F33" location="تسعير!AQ38" display="تليسكوب"/>
    <hyperlink ref="E31:G33" location="تسعير!AQ38" display="تليسكوب"/>
    <hyperlink ref="F31:H33" location="تسعير!AQ38" display="تليسكوب"/>
    <hyperlink ref="G31:I33" location="تسعير!AQ38" display="تليسكوب"/>
    <hyperlink ref="H31:J33" location="تسعير!AQ38" display="تليسكوب"/>
    <hyperlink ref="I31:K33" location="تسعير!AQ38" display="تليسكوب"/>
    <hyperlink ref="J31:L33" location="تسعير!AQ38" display="تليسكوب"/>
    <hyperlink ref="K31:M33" location="تسعير!AQ38" display="تليسكوب"/>
    <hyperlink ref="L31:N33" location="تسعير!AQ38" display="تليسكوب"/>
    <hyperlink ref="M31:O33" location="تسعير!AQ38" display="تليسكوب"/>
    <hyperlink ref="N31:P33" location="تسعير!AQ38" display="تليسكوب"/>
    <hyperlink ref="O31:Q33" location="تسعير!AQ38" display="تليسكوب"/>
    <hyperlink ref="P31:R33" location="تسعير!AQ38" display="تليسكوب"/>
    <hyperlink ref="Q31:S33" location="تسعير!AQ38" display="تليسكوب"/>
    <hyperlink ref="R31:T33" location="تسعير!AQ38" display="تليسكوب"/>
    <hyperlink ref="S31" location="تسعير!X31" display="الارتفاع الامامي"/>
    <hyperlink ref="T31:V33" location="تسعير!AQ38" display="تليسكوب"/>
    <hyperlink ref="U31:W33" location="تسعير!AQ38" display="تليسكوب"/>
    <hyperlink ref="V31:X33" location="تسعير!AQ38" display="تليسكوب"/>
    <hyperlink ref="W31:Y33" location="تسعير!AQ38" display="تليسكوب"/>
    <hyperlink ref="X31:Z33" location="تسعير!AQ38" display="تليسكوب"/>
    <hyperlink ref="Y31:AA33" location="تسعير!AQ38" display="تليسكوب"/>
    <hyperlink ref="Z31:AB33" location="تسعير!AQ38" display="تليسكوب"/>
    <hyperlink ref="AA31:AC33" location="تسعير!AQ38" display="تليسكوب"/>
    <hyperlink ref="AB31:AD33" location="تسعير!AQ38" display="تليسكوب"/>
    <hyperlink ref="AC31:AE33" location="تسعير!AQ38" display="تليسكوب"/>
    <hyperlink ref="AD31:AF33" location="تسعير!AQ38" display="تليسكوب"/>
    <hyperlink ref="AE31:AG33" location="تسعير!AQ38" display="تليسكوب"/>
    <hyperlink ref="AF31:AH33" location="تسعير!AQ38" display="تليسكوب"/>
    <hyperlink ref="AG31:AI33" location="تسعير!AQ38" display="تليسكوب"/>
    <hyperlink ref="AH31:AJ33" location="تسعير!AQ38" display="تليسكوب"/>
    <hyperlink ref="AI31:AK33" location="تسعير!AQ38" display="تليسكوب"/>
    <hyperlink ref="AJ31:AL33" location="تسعير!AQ38" display="تليسكوب"/>
    <hyperlink ref="B32:D34" location="تسعير!AQ38" display="تليسكوب"/>
    <hyperlink ref="C32:E34" location="تسعير!AQ38" display="تليسكوب"/>
    <hyperlink ref="D32:F34" location="تسعير!AQ38" display="تليسكوب"/>
    <hyperlink ref="E32:G34" location="تسعير!AQ38" display="تليسكوب"/>
    <hyperlink ref="F32:H34" location="تسعير!AQ38" display="تليسكوب"/>
    <hyperlink ref="G32:I34" location="تسعير!AQ38" display="تليسكوب"/>
    <hyperlink ref="H32:J34" location="تسعير!AQ38" display="تليسكوب"/>
    <hyperlink ref="I32:K34" location="تسعير!AQ38" display="تليسكوب"/>
    <hyperlink ref="J32:L34" location="تسعير!AQ38" display="تليسكوب"/>
    <hyperlink ref="K32:M34" location="تسعير!AQ38" display="تليسكوب"/>
    <hyperlink ref="L32:N34" location="تسعير!AQ38" display="تليسكوب"/>
    <hyperlink ref="M32:O34" location="تسعير!AQ38" display="تليسكوب"/>
    <hyperlink ref="N32:P34" location="تسعير!AQ38" display="تليسكوب"/>
    <hyperlink ref="O32:Q34" location="تسعير!AQ38" display="تليسكوب"/>
    <hyperlink ref="P32:R34" location="تسعير!AQ38" display="تليسكوب"/>
    <hyperlink ref="Q32:S34" location="تسعير!AQ38" display="تليسكوب"/>
    <hyperlink ref="R32:T34" location="تسعير!AQ38" display="تليسكوب"/>
    <hyperlink ref="S32" location="تسعير!X37" display="التثبيت"/>
    <hyperlink ref="T32:V34" location="تسعير!AQ38" display="تليسكوب"/>
    <hyperlink ref="U32:W34" location="تسعير!AQ38" display="تليسكوب"/>
    <hyperlink ref="V32:X34" location="تسعير!AQ38" display="تليسكوب"/>
    <hyperlink ref="W32:Y34" location="تسعير!AQ38" display="تليسكوب"/>
    <hyperlink ref="X32:Z34" location="تسعير!AQ38" display="تليسكوب"/>
    <hyperlink ref="Y32:AA34" location="تسعير!AQ38" display="تليسكوب"/>
    <hyperlink ref="Z32:AB34" location="تسعير!AQ38" display="تليسكوب"/>
    <hyperlink ref="AA32:AC34" location="تسعير!AQ38" display="تليسكوب"/>
    <hyperlink ref="AB32:AD34" location="تسعير!AQ38" display="تليسكوب"/>
    <hyperlink ref="AC32:AE34" location="تسعير!AQ38" display="تليسكوب"/>
    <hyperlink ref="AD32:AF34" location="تسعير!AQ38" display="تليسكوب"/>
    <hyperlink ref="AE32:AG34" location="تسعير!AQ38" display="تليسكوب"/>
    <hyperlink ref="AF32:AH34" location="تسعير!AQ38" display="تليسكوب"/>
    <hyperlink ref="AG32:AI34" location="تسعير!AQ38" display="تليسكوب"/>
    <hyperlink ref="AH32:AJ34" location="تسعير!AQ38" display="تليسكوب"/>
    <hyperlink ref="AI32:AK34" location="تسعير!AQ38" display="تليسكوب"/>
    <hyperlink ref="AJ32:AL34" location="تسعير!AQ38" display="تليسكوب"/>
    <hyperlink ref="AS32" location="تسعير!BB14" display="التثبيت"/>
    <hyperlink ref="BD32" location="تسعير!BB14" display="التثبيت"/>
    <hyperlink ref="B33:D35" location="تسعير!AQ38" display="تليسكوب"/>
    <hyperlink ref="C33:E35" location="تسعير!AQ38" display="تليسكوب"/>
    <hyperlink ref="D33:F35" location="تسعير!AQ38" display="تليسكوب"/>
    <hyperlink ref="E33:G35" location="تسعير!AQ38" display="تليسكوب"/>
    <hyperlink ref="F33:H35" location="تسعير!AQ38" display="تليسكوب"/>
    <hyperlink ref="G33:I35" location="تسعير!AQ38" display="تليسكوب"/>
    <hyperlink ref="H33:J35" location="تسعير!AQ38" display="تليسكوب"/>
    <hyperlink ref="I33:K35" location="تسعير!AQ38" display="تليسكوب"/>
    <hyperlink ref="J33:L35" location="تسعير!AQ38" display="تليسكوب"/>
    <hyperlink ref="K33:M35" location="تسعير!AQ38" display="تليسكوب"/>
    <hyperlink ref="L33:N35" location="تسعير!AQ38" display="تليسكوب"/>
    <hyperlink ref="M33:O35" location="تسعير!AQ38" display="تليسكوب"/>
    <hyperlink ref="N33:P35" location="تسعير!AQ38" display="تليسكوب"/>
    <hyperlink ref="O33:Q35" location="تسعير!AQ38" display="تليسكوب"/>
    <hyperlink ref="P33:R35" location="تسعير!AQ38" display="تليسكوب"/>
    <hyperlink ref="Q33:S35" location="تسعير!AQ38" display="تليسكوب"/>
    <hyperlink ref="R33:T35" location="تسعير!AQ38" display="تليسكوب"/>
    <hyperlink ref="S33" location="تسعير!AA33" display="العرض cm"/>
    <hyperlink ref="T33:V35" location="تسعير!AQ38" display="تليسكوب"/>
    <hyperlink ref="U33:W35" location="تسعير!AQ38" display="تليسكوب"/>
    <hyperlink ref="V33:X35" location="تسعير!AQ38" display="تليسكوب"/>
    <hyperlink ref="W33:Y35" location="تسعير!AQ38" display="تليسكوب"/>
    <hyperlink ref="X33:Z35" location="تسعير!AQ38" display="تليسكوب"/>
    <hyperlink ref="Y33:AA35" location="تسعير!AQ38" display="تليسكوب"/>
    <hyperlink ref="Z33:AB35" location="تسعير!AQ38" display="تليسكوب"/>
    <hyperlink ref="AA33:AC35" location="تسعير!AQ38" display="تليسكوب"/>
    <hyperlink ref="AB33:AD35" location="تسعير!AQ38" display="تليسكوب"/>
    <hyperlink ref="AC33:AE35" location="تسعير!AQ38" display="تليسكوب"/>
    <hyperlink ref="AD33:AF35" location="تسعير!AQ38" display="تليسكوب"/>
    <hyperlink ref="AE33:AG35" location="تسعير!AQ38" display="تليسكوب"/>
    <hyperlink ref="AF33:AH35" location="تسعير!AQ38" display="تليسكوب"/>
    <hyperlink ref="AG33:AI35" location="تسعير!AQ38" display="تليسكوب"/>
    <hyperlink ref="AH33:AJ35" location="تسعير!AQ38" display="تليسكوب"/>
    <hyperlink ref="AI33:AK35" location="تسعير!AQ38" display="تليسكوب"/>
    <hyperlink ref="AJ33:AL35" location="تسعير!AQ38" display="تليسكوب"/>
    <hyperlink ref="AS33" location="تسعير!BA36" display="العرض cm"/>
    <hyperlink ref="BD33" location="تسعير!AV10" display="العرض cm"/>
    <hyperlink ref="B34:D36" location="تسعير!AQ38" display="تليسكوب"/>
    <hyperlink ref="C34:E36" location="تسعير!AQ38" display="تليسكوب"/>
    <hyperlink ref="D34:F36" location="تسعير!AQ38" display="تليسكوب"/>
    <hyperlink ref="E34:G36" location="تسعير!AQ38" display="تليسكوب"/>
    <hyperlink ref="F34:H36" location="تسعير!AQ38" display="تليسكوب"/>
    <hyperlink ref="G34:I36" location="تسعير!AQ38" display="تليسكوب"/>
    <hyperlink ref="H34:J36" location="تسعير!AQ38" display="تليسكوب"/>
    <hyperlink ref="I34:K36" location="تسعير!AQ38" display="تليسكوب"/>
    <hyperlink ref="J34:L36" location="تسعير!AQ38" display="تليسكوب"/>
    <hyperlink ref="K34:M36" location="تسعير!AQ38" display="تليسكوب"/>
    <hyperlink ref="L34:N36" location="تسعير!AQ38" display="تليسكوب"/>
    <hyperlink ref="M34:O36" location="تسعير!AQ38" display="تليسكوب"/>
    <hyperlink ref="N34:P36" location="تسعير!AQ38" display="تليسكوب"/>
    <hyperlink ref="O34:Q36" location="تسعير!AQ38" display="تليسكوب"/>
    <hyperlink ref="P34:R36" location="تسعير!AQ38" display="تليسكوب"/>
    <hyperlink ref="Q34:S36" location="تسعير!AQ38" display="تليسكوب"/>
    <hyperlink ref="R34:T36" location="تسعير!AQ38" display="تليسكوب"/>
    <hyperlink ref="S34" location="تسعير!X31" display="الامتداد cm"/>
    <hyperlink ref="T34:V36" location="تسعير!AQ38" display="تليسكوب"/>
    <hyperlink ref="U34:W36" location="تسعير!AQ38" display="تليسكوب"/>
    <hyperlink ref="V34:X36" location="تسعير!AQ38" display="تليسكوب"/>
    <hyperlink ref="W34:Y36" location="تسعير!AQ38" display="تليسكوب"/>
    <hyperlink ref="X34:Z36" location="تسعير!AQ38" display="تليسكوب"/>
    <hyperlink ref="Y34:AA36" location="تسعير!AQ38" display="تليسكوب"/>
    <hyperlink ref="Z34:AB36" location="تسعير!AQ38" display="تليسكوب"/>
    <hyperlink ref="AA34:AC36" location="تسعير!AQ38" display="تليسكوب"/>
    <hyperlink ref="AB34:AD36" location="تسعير!AQ38" display="تليسكوب"/>
    <hyperlink ref="AC34:AE36" location="تسعير!AQ38" display="تليسكوب"/>
    <hyperlink ref="AD34:AF36" location="تسعير!AQ38" display="تليسكوب"/>
    <hyperlink ref="AE34:AG36" location="تسعير!AQ38" display="تليسكوب"/>
    <hyperlink ref="AF34:AH36" location="تسعير!AQ38" display="تليسكوب"/>
    <hyperlink ref="AG34:AI36" location="تسعير!AQ38" display="تليسكوب"/>
    <hyperlink ref="AH34:AJ36" location="تسعير!AQ38" display="تليسكوب"/>
    <hyperlink ref="AI34:AK36" location="تسعير!AQ38" display="تليسكوب"/>
    <hyperlink ref="AJ34:AL36" location="تسعير!AQ38" display="تليسكوب"/>
    <hyperlink ref="AS34" location="تسعير!AW25" display="الامتداد cm"/>
    <hyperlink ref="BD34" location="تسعير!BA12" display="الامتداد cm"/>
    <hyperlink ref="B35:D37" location="تسعير!AQ38" display="تليسكوب"/>
    <hyperlink ref="C35:E37" location="تسعير!AQ38" display="تليسكوب"/>
    <hyperlink ref="D35:F37" location="تسعير!AQ38" display="تليسكوب"/>
    <hyperlink ref="E35:G37" location="تسعير!AQ38" display="تليسكوب"/>
    <hyperlink ref="F35:H37" location="تسعير!AQ38" display="تليسكوب"/>
    <hyperlink ref="G35:I37" location="تسعير!AQ38" display="تليسكوب"/>
    <hyperlink ref="H35:J37" location="تسعير!AQ38" display="تليسكوب"/>
    <hyperlink ref="I35:K37" location="تسعير!AQ38" display="تليسكوب"/>
    <hyperlink ref="J35:L37" location="تسعير!AQ38" display="تليسكوب"/>
    <hyperlink ref="K35:M37" location="تسعير!AQ38" display="تليسكوب"/>
    <hyperlink ref="L35:N37" location="تسعير!AQ38" display="تليسكوب"/>
    <hyperlink ref="M35:O37" location="تسعير!AQ38" display="تليسكوب"/>
    <hyperlink ref="N35:P37" location="تسعير!AQ38" display="تليسكوب"/>
    <hyperlink ref="O35:Q37" location="تسعير!AQ38" display="تليسكوب"/>
    <hyperlink ref="P35:R37" location="تسعير!AQ38" display="تليسكوب"/>
    <hyperlink ref="Q35:S37" location="تسعير!AQ38" display="تليسكوب"/>
    <hyperlink ref="R35:T37" location="تسعير!AQ38" display="تليسكوب"/>
    <hyperlink ref="S35:U37" location="تسعير!AQ38" display="تليسكوب"/>
    <hyperlink ref="T35:V37" location="تسعير!AQ38" display="تليسكوب"/>
    <hyperlink ref="U35:W37" location="تسعير!AQ38" display="تليسكوب"/>
    <hyperlink ref="V35:X37" location="تسعير!AQ38" display="تليسكوب"/>
    <hyperlink ref="W35:Y37" location="تسعير!AQ38" display="تليسكوب"/>
    <hyperlink ref="X35:Z37" location="تسعير!AQ38" display="تليسكوب"/>
    <hyperlink ref="Y35:AA37" location="تسعير!AQ38" display="تليسكوب"/>
    <hyperlink ref="Z35:AB37" location="تسعير!AQ38" display="تليسكوب"/>
    <hyperlink ref="AA35:AC37" location="تسعير!AQ38" display="تليسكوب"/>
    <hyperlink ref="AB35:AD37" location="تسعير!AQ38" display="تليسكوب"/>
    <hyperlink ref="AC35:AE37" location="تسعير!AQ38" display="تليسكوب"/>
    <hyperlink ref="AD35:AF37" location="تسعير!AQ38" display="تليسكوب"/>
    <hyperlink ref="AE35:AG37" location="تسعير!AQ38" display="تليسكوب"/>
    <hyperlink ref="AF35:AH37" location="تسعير!AQ38" display="تليسكوب"/>
    <hyperlink ref="AG35:AI37" location="تسعير!AQ38" display="تليسكوب"/>
    <hyperlink ref="AH35:AJ37" location="تسعير!AQ38" display="تليسكوب"/>
    <hyperlink ref="AI35:AK37" location="تسعير!AQ38" display="تليسكوب"/>
    <hyperlink ref="AJ35:AL37" location="تسعير!AQ38" display="تليسكوب"/>
    <hyperlink ref="B36:D38" location="تسعير!AQ38" display="تليسكوب"/>
    <hyperlink ref="C36:E38" location="تسعير!AQ38" display="تليسكوب"/>
    <hyperlink ref="D36:F38" location="تسعير!AQ38" display="تليسكوب"/>
    <hyperlink ref="E36:G38" location="تسعير!AQ38" display="تليسكوب"/>
    <hyperlink ref="F36:H38" location="تسعير!AQ38" display="تليسكوب"/>
    <hyperlink ref="G36:I38" location="تسعير!AQ38" display="تليسكوب"/>
    <hyperlink ref="H36:J38" location="تسعير!AQ38" display="تليسكوب"/>
    <hyperlink ref="I36:K38" location="تسعير!AQ38" display="تليسكوب"/>
    <hyperlink ref="J36:L38" location="تسعير!AQ38" display="تليسكوب"/>
    <hyperlink ref="K36:M38" location="تسعير!AQ38" display="تليسكوب"/>
    <hyperlink ref="L36:N38" location="تسعير!AQ38" display="تليسكوب"/>
    <hyperlink ref="M36:O38" location="تسعير!AQ38" display="تليسكوب"/>
    <hyperlink ref="N36:P38" location="تسعير!AQ38" display="تليسكوب"/>
    <hyperlink ref="O36:Q38" location="تسعير!AQ38" display="تليسكوب"/>
    <hyperlink ref="P36:R38" location="تسعير!AQ38" display="تليسكوب"/>
    <hyperlink ref="Q36:S38" location="تسعير!AQ38" display="تليسكوب"/>
    <hyperlink ref="R36:T38" location="تسعير!AQ38" display="تليسكوب"/>
    <hyperlink ref="S36:U38" location="تسعير!AQ38" display="تليسكوب"/>
    <hyperlink ref="T36:V38" location="تسعير!AQ38" display="تليسكوب"/>
    <hyperlink ref="U36:W38" location="تسعير!AQ38" display="تليسكوب"/>
    <hyperlink ref="V36:X38" location="تسعير!AQ38" display="تليسكوب"/>
    <hyperlink ref="W36:Y38" location="تسعير!AQ38" display="تليسكوب"/>
    <hyperlink ref="X36:Z38" location="تسعير!AQ38" display="تليسكوب"/>
    <hyperlink ref="Y36:AA38" location="تسعير!AQ38" display="تليسكوب"/>
    <hyperlink ref="Z36:AB38" location="تسعير!AQ38" display="تليسكوب"/>
    <hyperlink ref="AA36:AC38" location="تسعير!AQ38" display="تليسكوب"/>
    <hyperlink ref="AB36:AD38" location="تسعير!AQ38" display="تليسكوب"/>
    <hyperlink ref="AC36:AE38" location="تسعير!AQ38" display="تليسكوب"/>
    <hyperlink ref="AD36:AF38" location="تسعير!AQ38" display="تليسكوب"/>
    <hyperlink ref="AE36:AG38" location="تسعير!AQ38" display="تليسكوب"/>
    <hyperlink ref="AF36:AH38" location="تسعير!AQ38" display="تليسكوب"/>
    <hyperlink ref="AG36:AI38" location="تسعير!AQ38" display="تليسكوب"/>
    <hyperlink ref="AH36:AJ38" location="تسعير!AQ38" display="تليسكوب"/>
    <hyperlink ref="AI36:AK38" location="تسعير!AQ38" display="تليسكوب"/>
    <hyperlink ref="AJ36:AL38" location="تسعير!AQ38" display="تليسكوب"/>
    <hyperlink ref="B37:D39" location="تسعير!AQ38" display="تليسكوب"/>
    <hyperlink ref="C37:E39" location="تسعير!AQ38" display="تليسكوب"/>
    <hyperlink ref="D37:F39" location="تسعير!AQ38" display="تليسكوب"/>
    <hyperlink ref="E37:G39" location="تسعير!AQ38" display="تليسكوب"/>
    <hyperlink ref="F37:H39" location="تسعير!AQ38" display="تليسكوب"/>
    <hyperlink ref="G37:I39" location="تسعير!AQ38" display="تليسكوب"/>
    <hyperlink ref="H37:J39" location="تسعير!AQ38" display="تليسكوب"/>
    <hyperlink ref="I37:K39" location="تسعير!AQ38" display="تليسكوب"/>
    <hyperlink ref="J37:L39" location="تسعير!AQ38" display="تليسكوب"/>
    <hyperlink ref="K37:M39" location="تسعير!AQ38" display="تليسكوب"/>
    <hyperlink ref="L37:N39" location="تسعير!AQ38" display="تليسكوب"/>
    <hyperlink ref="M37:O39" location="تسعير!AQ38" display="تليسكوب"/>
    <hyperlink ref="N37:P39" location="تسعير!AQ38" display="تليسكوب"/>
    <hyperlink ref="O37:Q39" location="تسعير!AQ38" display="تليسكوب"/>
    <hyperlink ref="P37:R39" location="تسعير!AQ38" display="تليسكوب"/>
    <hyperlink ref="Q37:S39" location="تسعير!AQ38" display="تليسكوب"/>
    <hyperlink ref="R37:T39" location="تسعير!AQ38" display="تليسكوب"/>
    <hyperlink ref="S37:U39" location="تسعير!AQ38" display="تليسكوب"/>
    <hyperlink ref="T37:V39" location="تسعير!AQ38" display="تليسكوب"/>
    <hyperlink ref="U37:W39" location="تسعير!AQ38" display="تليسكوب"/>
    <hyperlink ref="V37:X39" location="تسعير!AQ38" display="تليسكوب"/>
    <hyperlink ref="W37:Y39" location="تسعير!AQ38" display="تليسكوب"/>
    <hyperlink ref="X37:Z39" location="تسعير!AQ38" display="تليسكوب"/>
    <hyperlink ref="Y37:AA39" location="تسعير!AQ38" display="تليسكوب"/>
    <hyperlink ref="Z37:AB39" location="تسعير!AQ38" display="تليسكوب"/>
    <hyperlink ref="AA37:AC39" location="تسعير!AQ38" display="تليسكوب"/>
    <hyperlink ref="AB37:AD39" location="تسعير!AQ38" display="تليسكوب"/>
    <hyperlink ref="AC37:AE39" location="تسعير!AQ38" display="تليسكوب"/>
    <hyperlink ref="AD37:AF39" location="تسعير!AQ38" display="تليسكوب"/>
    <hyperlink ref="AE37:AG39" location="تسعير!AQ38" display="تليسكوب"/>
    <hyperlink ref="AF37:AH39" location="تسعير!AQ38" display="تليسكوب"/>
    <hyperlink ref="AG37:AI39" location="تسعير!AQ38" display="تليسكوب"/>
    <hyperlink ref="AH37:AJ39" location="تسعير!AQ38" display="تليسكوب"/>
    <hyperlink ref="AI37:AK39" location="تسعير!AQ38" display="تليسكوب"/>
    <hyperlink ref="AJ37:AL39" location="تسعير!AQ38" display="تليسكوب"/>
    <hyperlink ref="B38:D40" location="تسعير!AQ38" display="تليسكوب"/>
    <hyperlink ref="C38:E40" location="تسعير!AQ38" display="تليسكوب"/>
    <hyperlink ref="D38:F40" location="تسعير!AQ38" display="تليسكوب"/>
    <hyperlink ref="E38:G40" location="تسعير!AQ38" display="تليسكوب"/>
    <hyperlink ref="F38:H40" location="تسعير!AQ38" display="تليسكوب"/>
    <hyperlink ref="G38:I40" location="تسعير!AQ38" display="تليسكوب"/>
    <hyperlink ref="H38:J40" location="تسعير!AQ38" display="تليسكوب"/>
    <hyperlink ref="I38:K40" location="تسعير!AQ38" display="تليسكوب"/>
    <hyperlink ref="J38:L40" location="تسعير!AQ38" display="تليسكوب"/>
    <hyperlink ref="K38:M40" location="تسعير!AQ38" display="تليسكوب"/>
    <hyperlink ref="L38:N40" location="تسعير!AQ38" display="تليسكوب"/>
    <hyperlink ref="M38:O40" location="تسعير!AQ38" display="تليسكوب"/>
    <hyperlink ref="N38:P40" location="تسعير!AQ38" display="تليسكوب"/>
    <hyperlink ref="O38:Q40" location="تسعير!AQ38" display="تليسكوب"/>
    <hyperlink ref="P38:R40" location="تسعير!AQ38" display="تليسكوب"/>
    <hyperlink ref="Q38:S40" location="تسعير!AQ38" display="تليسكوب"/>
    <hyperlink ref="R38:T40" location="تسعير!AQ38" display="تليسكوب"/>
    <hyperlink ref="S38:U40" location="تسعير!AQ38" display="تليسكوب"/>
    <hyperlink ref="T38:V40" location="تسعير!AQ38" display="تليسكوب"/>
    <hyperlink ref="U38:W40" location="تسعير!AQ38" display="تليسكوب"/>
    <hyperlink ref="V38:X40" location="تسعير!AQ38" display="تليسكوب"/>
    <hyperlink ref="W38:Y40" location="تسعير!AQ38" display="تليسكوب"/>
    <hyperlink ref="X38:Z40" location="تسعير!AQ38" display="تليسكوب"/>
    <hyperlink ref="Y38:AA40" location="تسعير!AQ38" display="تليسكوب"/>
    <hyperlink ref="Z38:AB40" location="تسعير!AQ38" display="تليسكوب"/>
    <hyperlink ref="AA38:AC40" location="تسعير!AQ38" display="تليسكوب"/>
    <hyperlink ref="AB38:AD40" location="تسعير!AQ38" display="تليسكوب"/>
    <hyperlink ref="AC38:AE40" location="تسعير!AQ38" display="تليسكوب"/>
    <hyperlink ref="AD38:AF40" location="تسعير!AQ38" display="تليسكوب"/>
    <hyperlink ref="AE38:AG40" location="تسعير!AQ38" display="تليسكوب"/>
    <hyperlink ref="AF38:AH40" location="تسعير!AQ38" display="تليسكوب"/>
    <hyperlink ref="AG38:AI40" location="تسعير!AQ38" display="تليسكوب"/>
    <hyperlink ref="AH38:AJ40" location="تسعير!AQ38" display="تليسكوب"/>
    <hyperlink ref="AI38:AK40" location="تسعير!AQ38" display="تليسكوب"/>
    <hyperlink ref="AJ38:AL40" location="تسعير!AQ38" display="تليسكوب"/>
    <hyperlink ref="B39:D41" location="تسعير!AQ38" display="تليسكوب"/>
    <hyperlink ref="C39:E41" location="تسعير!AQ38" display="تليسكوب"/>
    <hyperlink ref="D39:F41" location="تسعير!AQ38" display="تليسكوب"/>
    <hyperlink ref="E39:G41" location="تسعير!AQ38" display="تليسكوب"/>
    <hyperlink ref="F39:H41" location="تسعير!AQ38" display="تليسكوب"/>
    <hyperlink ref="G39:I41" location="تسعير!AQ38" display="تليسكوب"/>
    <hyperlink ref="H39:J41" location="تسعير!AQ38" display="تليسكوب"/>
    <hyperlink ref="I39:K41" location="تسعير!AQ38" display="تليسكوب"/>
    <hyperlink ref="J39:L41" location="تسعير!AQ38" display="تليسكوب"/>
    <hyperlink ref="K39:M41" location="تسعير!AQ38" display="تليسكوب"/>
    <hyperlink ref="L39:N41" location="تسعير!AQ38" display="تليسكوب"/>
    <hyperlink ref="M39:O41" location="تسعير!AQ38" display="تليسكوب"/>
    <hyperlink ref="N39:P41" location="تسعير!AQ38" display="تليسكوب"/>
    <hyperlink ref="O39:Q41" location="تسعير!AQ38" display="تليسكوب"/>
    <hyperlink ref="P39:R41" location="تسعير!AQ38" display="تليسكوب"/>
    <hyperlink ref="Q39:S41" location="تسعير!AQ38" display="تليسكوب"/>
    <hyperlink ref="R39:T41" location="تسعير!AQ38" display="تليسكوب"/>
    <hyperlink ref="S39:U41" location="تسعير!AQ38" display="تليسكوب"/>
    <hyperlink ref="T39:V41" location="تسعير!AQ38" display="تليسكوب"/>
    <hyperlink ref="U39:W41" location="تسعير!AQ38" display="تليسكوب"/>
    <hyperlink ref="V39:X41" location="تسعير!AQ38" display="تليسكوب"/>
    <hyperlink ref="W39:Y41" location="تسعير!AQ38" display="تليسكوب"/>
    <hyperlink ref="X39:Z41" location="تسعير!AQ38" display="تليسكوب"/>
    <hyperlink ref="Y39:AA41" location="تسعير!AQ38" display="تليسكوب"/>
    <hyperlink ref="Z39:AB41" location="تسعير!AQ38" display="تليسكوب"/>
    <hyperlink ref="AA39:AC41" location="تسعير!AQ38" display="تليسكوب"/>
    <hyperlink ref="AB39:AD41" location="تسعير!AQ38" display="تليسكوب"/>
    <hyperlink ref="AC39:AE41" location="تسعير!AQ38" display="تليسكوب"/>
    <hyperlink ref="AD39:AF41" location="تسعير!AQ38" display="تليسكوب"/>
    <hyperlink ref="AE39:AG41" location="تسعير!AQ38" display="تليسكوب"/>
    <hyperlink ref="AF39:AH41" location="تسعير!AQ38" display="تليسكوب"/>
    <hyperlink ref="AG39:AI41" location="تسعير!AQ38" display="تليسكوب"/>
    <hyperlink ref="AH39:AJ41" location="تسعير!AQ38" display="تليسكوب"/>
    <hyperlink ref="AI39:AK41" location="تسعير!AQ38" display="تليسكوب"/>
    <hyperlink ref="AJ39:AL41" location="تسعير!AQ38" display="تليسكوب"/>
    <hyperlink ref="B40:D42" location="تسعير!AQ38" display="تليسكوب"/>
    <hyperlink ref="C40:E42" location="تسعير!AQ38" display="تليسكوب"/>
    <hyperlink ref="D40:F42" location="تسعير!AQ38" display="تليسكوب"/>
    <hyperlink ref="E40:G42" location="تسعير!AQ38" display="تليسكوب"/>
    <hyperlink ref="F40:H42" location="تسعير!AQ38" display="تليسكوب"/>
    <hyperlink ref="G40:I42" location="تسعير!AQ38" display="تليسكوب"/>
    <hyperlink ref="H40:J42" location="تسعير!AQ38" display="تليسكوب"/>
    <hyperlink ref="I40:K42" location="تسعير!AQ38" display="تليسكوب"/>
    <hyperlink ref="J40:L42" location="تسعير!AQ38" display="تليسكوب"/>
    <hyperlink ref="K40:M42" location="تسعير!AQ38" display="تليسكوب"/>
    <hyperlink ref="L40:N42" location="تسعير!AQ38" display="تليسكوب"/>
    <hyperlink ref="M40:O42" location="تسعير!AQ38" display="تليسكوب"/>
    <hyperlink ref="N40:P42" location="تسعير!AQ38" display="تليسكوب"/>
    <hyperlink ref="O40:Q42" location="تسعير!AQ38" display="تليسكوب"/>
    <hyperlink ref="P40:R42" location="تسعير!AQ38" display="تليسكوب"/>
    <hyperlink ref="Q40:S42" location="تسعير!AQ38" display="تليسكوب"/>
    <hyperlink ref="R40:T42" location="تسعير!AQ38" display="تليسكوب"/>
    <hyperlink ref="S40:U42" location="تسعير!AQ38" display="تليسكوب"/>
    <hyperlink ref="T40:V42" location="تسعير!AQ38" display="تليسكوب"/>
    <hyperlink ref="U40:W42" location="تسعير!AQ38" display="تليسكوب"/>
    <hyperlink ref="V40:X42" location="تسعير!AQ38" display="تليسكوب"/>
    <hyperlink ref="W40:Y42" location="تسعير!AQ38" display="تليسكوب"/>
    <hyperlink ref="X40:Z42" location="تسعير!AQ38" display="تليسكوب"/>
    <hyperlink ref="Y40:AA42" location="تسعير!AQ38" display="تليسكوب"/>
    <hyperlink ref="Z40:AB42" location="تسعير!AQ38" display="تليسكوب"/>
    <hyperlink ref="AA40:AC42" location="تسعير!AQ38" display="تليسكوب"/>
    <hyperlink ref="AB40:AD42" location="تسعير!AQ38" display="تليسكوب"/>
    <hyperlink ref="AC40:AE42" location="تسعير!AQ38" display="تليسكوب"/>
    <hyperlink ref="AD40:AF42" location="تسعير!AQ38" display="تليسكوب"/>
    <hyperlink ref="AE40:AG42" location="تسعير!AQ38" display="تليسكوب"/>
    <hyperlink ref="AF40:AH42" location="تسعير!AQ38" display="تليسكوب"/>
    <hyperlink ref="AG40:AI42" location="تسعير!AQ38" display="تليسكوب"/>
    <hyperlink ref="AH40:AJ42" location="تسعير!AQ38" display="تليسكوب"/>
    <hyperlink ref="AI40:AK42" location="تسعير!AQ38" display="تليسكوب"/>
    <hyperlink ref="AJ40:AL42" location="تسعير!AQ38" display="تليسكوب"/>
    <hyperlink ref="B41:D43" location="تسعير!AQ38" display="تليسكوب"/>
    <hyperlink ref="C41:E43" location="تسعير!AQ38" display="تليسكوب"/>
    <hyperlink ref="D41:F43" location="تسعير!AQ38" display="تليسكوب"/>
    <hyperlink ref="E41:G43" location="تسعير!AQ38" display="تليسكوب"/>
    <hyperlink ref="F41:H43" location="تسعير!AQ38" display="تليسكوب"/>
    <hyperlink ref="G41:I43" location="تسعير!AQ38" display="تليسكوب"/>
    <hyperlink ref="H41:J43" location="تسعير!AQ38" display="تليسكوب"/>
    <hyperlink ref="I41:K43" location="تسعير!AQ38" display="تليسكوب"/>
    <hyperlink ref="J41:L43" location="تسعير!AQ38" display="تليسكوب"/>
    <hyperlink ref="K41:M43" location="تسعير!AQ38" display="تليسكوب"/>
    <hyperlink ref="L41:N43" location="تسعير!AQ38" display="تليسكوب"/>
    <hyperlink ref="M41:O43" location="تسعير!AQ38" display="تليسكوب"/>
    <hyperlink ref="N41:P43" location="تسعير!AQ38" display="تليسكوب"/>
    <hyperlink ref="O41:Q43" location="تسعير!AQ38" display="تليسكوب"/>
    <hyperlink ref="P41:R43" location="تسعير!AQ38" display="تليسكوب"/>
    <hyperlink ref="Q41:S43" location="تسعير!AQ38" display="تليسكوب"/>
    <hyperlink ref="R41:T43" location="تسعير!AQ38" display="تليسكوب"/>
    <hyperlink ref="S41:U43" location="تسعير!AQ38" display="تليسكوب"/>
    <hyperlink ref="T41:V43" location="تسعير!AQ38" display="تليسكوب"/>
    <hyperlink ref="U41:W43" location="تسعير!AQ38" display="تليسكوب"/>
    <hyperlink ref="V41:X43" location="تسعير!AQ38" display="تليسكوب"/>
    <hyperlink ref="W41:Y43" location="تسعير!AQ38" display="تليسكوب"/>
    <hyperlink ref="X41:Z43" location="تسعير!AQ38" display="تليسكوب"/>
    <hyperlink ref="Y41:AA43" location="تسعير!AQ38" display="تليسكوب"/>
    <hyperlink ref="Z41:AB43" location="تسعير!AQ38" display="تليسكوب"/>
    <hyperlink ref="AA41:AC43" location="تسعير!AQ38" display="تليسكوب"/>
    <hyperlink ref="AB41:AD43" location="تسعير!AQ38" display="تليسكوب"/>
    <hyperlink ref="AC41:AE43" location="تسعير!AQ38" display="تليسكوب"/>
    <hyperlink ref="AD41:AF43" location="تسعير!AQ38" display="تليسكوب"/>
    <hyperlink ref="AE41:AG43" location="تسعير!AQ38" display="تليسكوب"/>
    <hyperlink ref="AF41:AH43" location="تسعير!AQ38" display="تليسكوب"/>
    <hyperlink ref="AG41:AI43" location="تسعير!AQ38" display="تليسكوب"/>
    <hyperlink ref="AH41:AJ43" location="تسعير!AQ38" display="تليسكوب"/>
    <hyperlink ref="AI41:AK43" location="تسعير!AQ38" display="تليسكوب"/>
    <hyperlink ref="AJ41:AL43" location="تسعير!AQ38" display="تليسكوب"/>
    <hyperlink ref="B42:D44" location="تسعير!AQ38" display="تليسكوب"/>
    <hyperlink ref="C42:E44" location="تسعير!AQ38" display="تليسكوب"/>
    <hyperlink ref="D42:F44" location="تسعير!AQ38" display="تليسكوب"/>
    <hyperlink ref="E42:G44" location="تسعير!AQ38" display="تليسكوب"/>
    <hyperlink ref="F42:H44" location="تسعير!AQ38" display="تليسكوب"/>
    <hyperlink ref="G42:I44" location="تسعير!AQ38" display="تليسكوب"/>
    <hyperlink ref="H42:J44" location="تسعير!AQ38" display="تليسكوب"/>
    <hyperlink ref="I42:K44" location="تسعير!AQ38" display="تليسكوب"/>
    <hyperlink ref="J42:L44" location="تسعير!AQ38" display="تليسكوب"/>
    <hyperlink ref="K42:M44" location="تسعير!AQ38" display="تليسكوب"/>
    <hyperlink ref="L42:N44" location="تسعير!AQ38" display="تليسكوب"/>
    <hyperlink ref="M42:O44" location="تسعير!AQ38" display="تليسكوب"/>
    <hyperlink ref="N42:P44" location="تسعير!AQ38" display="تليسكوب"/>
    <hyperlink ref="O42:Q44" location="تسعير!AQ38" display="تليسكوب"/>
    <hyperlink ref="P42:R44" location="تسعير!AQ38" display="تليسكوب"/>
    <hyperlink ref="Q42:S44" location="تسعير!AQ38" display="تليسكوب"/>
    <hyperlink ref="R42:T44" location="تسعير!AQ38" display="تليسكوب"/>
    <hyperlink ref="S42:U44" location="تسعير!AQ38" display="تليسكوب"/>
    <hyperlink ref="T42:V44" location="تسعير!AQ38" display="تليسكوب"/>
    <hyperlink ref="U42:W44" location="تسعير!AQ38" display="تليسكوب"/>
    <hyperlink ref="V42:X44" location="تسعير!AQ38" display="تليسكوب"/>
    <hyperlink ref="W42:Y44" location="تسعير!AQ38" display="تليسكوب"/>
    <hyperlink ref="X42:Z44" location="تسعير!AQ38" display="تليسكوب"/>
    <hyperlink ref="Y42:AA44" location="تسعير!AQ38" display="تليسكوب"/>
    <hyperlink ref="Z42:AB44" location="تسعير!AQ38" display="تليسكوب"/>
    <hyperlink ref="AA42:AC44" location="تسعير!AQ38" display="تليسكوب"/>
    <hyperlink ref="AB42:AD44" location="تسعير!AQ38" display="تليسكوب"/>
    <hyperlink ref="AC42:AE44" location="تسعير!AQ38" display="تليسكوب"/>
    <hyperlink ref="AD42:AF44" location="تسعير!AQ38" display="تليسكوب"/>
    <hyperlink ref="AE42:AG44" location="تسعير!AQ38" display="تليسكوب"/>
    <hyperlink ref="AF42:AH44" location="تسعير!AQ38" display="تليسكوب"/>
    <hyperlink ref="AG42:AI44" location="تسعير!AQ38" display="تليسكوب"/>
    <hyperlink ref="AH42:AJ44" location="تسعير!AQ38" display="تليسكوب"/>
    <hyperlink ref="AI42:AK44" location="تسعير!AQ38" display="تليسكوب"/>
    <hyperlink ref="AJ42:AL44" location="تسعير!AQ38" display="تليسكوب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8E6BBAD1-5FF1-425D-8D25-8A789DFEF257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E6EFB2ED-D6CC-4D44-A2E6-A6BA14F3243D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3515776F-DAAB-44E2-8AED-44225A5A021B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55E93117-975F-4139-8E23-04E8D9DDD1CF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61BCF8-1B46-42AC-B72E-D4767FD04E14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51F966F1-B31A-4359-A834-EB7763DF384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606D06B1-878B-4B43-A3DC-B9D860EAB94C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BDED0D8A-CA79-47C7-AB52-75F78989521B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74A1E70-E34F-4353-B556-7563D32CACF3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E1678956-735C-4587-8934-53ABCF47E8F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B876F35-544A-4920-8D27-B1EC84B5F800}">
          <x14:formula1>
            <xm:f>wavy2!$A$19:$A$20</xm:f>
          </x14:formula1>
          <xm:sqref>BE9</xm:sqref>
        </x14:dataValidation>
        <x14:dataValidation type="list" allowBlank="1" showInputMessage="1" showErrorMessage="1" xr:uid="{97C3DF8A-CF3B-42BD-B892-3209EC9C5A07}">
          <x14:formula1>
            <xm:f>wavy1!$A$19:$A$20</xm:f>
          </x14:formula1>
          <xm:sqref>AT9</xm:sqref>
        </x14:dataValidation>
        <x14:dataValidation type="list" allowBlank="1" showInputMessage="1" showErrorMessage="1" xr:uid="{69F6F482-EF08-4F47-9974-8F283104FCF2}">
          <x14:formula1>
            <xm:f>Sheet2!$B$5:$B$7</xm:f>
          </x14:formula1>
          <xm:sqref>T25 T46 T64</xm:sqref>
        </x14:dataValidation>
        <x14:dataValidation type="list" allowBlank="1" showInputMessage="1" showErrorMessage="1" xr:uid="{854E1AB5-0826-49A2-A789-568A21A31998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66B249F0-752F-4600-9B93-3E276E486D7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C87DEC9F-F264-46B0-ACA4-970223AC8839}">
          <x14:formula1>
            <xm:f>Sheet2!$C$5:$C$6</xm:f>
          </x14:formula1>
          <xm:sqref>T26</xm:sqref>
        </x14:dataValidation>
        <x14:dataValidation type="list" allowBlank="1" showInputMessage="1" showErrorMessage="1" xr:uid="{24BEF176-AC9D-489B-9C53-500DCDB225C8}">
          <x14:formula1>
            <xm:f>Sheet2!$A$5</xm:f>
          </x14:formula1>
          <xm:sqref>U31</xm:sqref>
        </x14:dataValidation>
        <x14:dataValidation type="list" allowBlank="1" showInputMessage="1" showErrorMessage="1" xr:uid="{75B6BDB4-4E59-47F1-AABF-BDC701B161A8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86BDD13D-5806-45F8-B1EE-6FF4E0570305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F3EA269C-BAA6-46B2-BE6D-C3C00681C3EB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3A794035-2BDE-4C3A-9F7F-EAF816F5B1DF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AE54E2B9-47CD-44EA-95A2-00905E131D8F}">
          <x14:formula1>
            <xm:f>Sheet2!$D$5:$D$6</xm:f>
          </x14:formula1>
          <xm:sqref>T32 T53 T71</xm:sqref>
        </x14:dataValidation>
        <x14:dataValidation type="list" allowBlank="1" showInputMessage="1" showErrorMessage="1" xr:uid="{D91FECB8-795D-4D2C-B8CD-663E463F6EB2}">
          <x14:formula1>
            <xm:f>Sheet2!$A$6</xm:f>
          </x14:formula1>
          <xm:sqref>AC36</xm:sqref>
        </x14:dataValidation>
        <x14:dataValidation type="list" allowBlank="1" showInputMessage="1" showErrorMessage="1" xr:uid="{72DD6A05-BD82-4D7D-8162-572D779E2EC2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45715.6415871875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(K6)/$G$79</f>
        <v>0.012298012453348047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(K7)/$G$79</f>
        <v>0.027055627397365705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(K8)/$G$79</f>
        <v>0.016204439938529193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Table1[[#Totals],[اجمالي]]/$G$79</f>
        <v>0.055558079789242945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0.00578729997804614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0.0036170624862788374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0.003183014987925377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0.00094043624643249779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0.001446824994511535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0.00043404749835346051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0.015191662442371117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0.00021702374917673025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0.017361899934138419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0.0032553562376509537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0.051434628554885072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0.00054255937294182561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0.00054255937294182561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0.00090426562156970935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0.0054255937294182561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0.001446824994511535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100</v>
      </c>
      <c r="K41" s="240">
        <f t="shared" si="6"/>
        <v>210.52631578947367</v>
      </c>
      <c r="L41" s="241">
        <f t="shared" si="7"/>
        <v>0.0015229736784331946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220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0.041668559841932205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0.034362093619648953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0.037979156105927794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950</v>
      </c>
      <c r="L47" s="251">
        <f t="shared" si="7"/>
        <v>0.006872418723929791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950</v>
      </c>
      <c r="L48" s="251">
        <f t="shared" si="7"/>
        <v>0.006872418723929791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19095.526315789473</v>
      </c>
      <c r="L49" s="244">
        <f>Table13[[#Totals],[اجمالي]]/$G$79</f>
        <v>0.13813942378518487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210</v>
      </c>
      <c r="J53" s="403">
        <f>Table1610[[#This Row],[سعر الكيلو]]*Table1610[[#This Row],[الوزن]]</f>
        <v>367.5</v>
      </c>
      <c r="K53" s="240">
        <f>B53*J53</f>
        <v>1102.5</v>
      </c>
      <c r="L53" s="241">
        <f>(Table1610[[#This Row],[اجمالي]])/$G$79</f>
        <v>0.0079756227822448365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0.012659718701975931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2852.5</v>
      </c>
      <c r="L55" s="244">
        <f>Table1610[[#Totals],[اجمالي]]/$G$79</f>
        <v>0.020635341484220769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2793.3200375938513</v>
      </c>
      <c r="I58" s="247"/>
      <c r="J58" s="403">
        <f>IF((Table1611[[#This Row],[عدد]]&gt;0),'Cutting Ro-1'!O8,0)</f>
        <v>58659.720789470877</v>
      </c>
      <c r="K58" s="240">
        <f>B58*Table1611[[#This Row],[سعر البرجولا كاملة]]</f>
        <v>58659.720789470877</v>
      </c>
      <c r="L58" s="241">
        <f>(K58)/$G$79</f>
        <v>0.42435175104637191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58659.720789470877</v>
      </c>
      <c r="K59" s="240">
        <f>B59*Table1611[[#This Row],[سعر البرجولا كاملة]]</f>
        <v>5865.9720789470884</v>
      </c>
      <c r="L59" s="241">
        <f>(K59)/$G$79</f>
        <v>0.042435175104637193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64525.692868417966</v>
      </c>
      <c r="L60" s="244">
        <f>Table1611[[#Totals],[اجمالي]]/$G$79</f>
        <v>0.46678692615100909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0.0072341249725576748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0.0054255937294182561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0.010851187458836512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0.0054255937294182561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0.047745224818880654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0.035808918614160488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0.031830149879253769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0.019098089927552263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0.025319437403951862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0.021702374917673024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0.044851574829857584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0.012153329953896895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0.26744560023545727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138233.71918420744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179703.83493946967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66477271-A988-448D-8210-F1B234567D2E}">
      <formula1>$N$2:$N$20</formula1>
    </dataValidation>
    <dataValidation type="list" allowBlank="1" showInputMessage="1" showErrorMessage="1" sqref="G63:G75" xr:uid="{6A0B2E2F-599B-4623-89E6-0E27B90A9B89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45715.6415871875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0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0</v>
      </c>
      <c r="G6" s="242" t="s">
        <v>43</v>
      </c>
      <c r="H6" s="211">
        <v>8.5</v>
      </c>
      <c r="I6" s="211">
        <f>Table118[[#This Row],[الوزن]]*Table118[[#This Row],[عدد]]</f>
        <v>0</v>
      </c>
      <c r="J6" s="243">
        <f>H6*$H$2/1000</f>
        <v>340</v>
      </c>
      <c r="K6" s="240">
        <f>B6*J6</f>
        <v>0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5.5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0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0</v>
      </c>
      <c r="G7" s="242" t="s">
        <v>43</v>
      </c>
      <c r="H7" s="211">
        <v>46.75</v>
      </c>
      <c r="I7" s="211">
        <f>Table118[[#This Row],[الوزن]]*Table118[[#This Row],[عدد]]</f>
        <v>0</v>
      </c>
      <c r="J7" s="243">
        <f ref="J7:J9" t="shared" si="1">H7*$H$2/1000</f>
        <v>1870</v>
      </c>
      <c r="K7" s="240">
        <f ref="K7:K9" t="shared" si="2">B7*J7</f>
        <v>0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4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1130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4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0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0</v>
      </c>
      <c r="G9" s="211" t="s">
        <v>43</v>
      </c>
      <c r="H9" s="211">
        <v>56</v>
      </c>
      <c r="I9" s="211">
        <f>Table118[[#This Row],[الوزن]]*Table118[[#This Row],[عدد]]</f>
        <v>0</v>
      </c>
      <c r="J9" s="243">
        <f t="shared" si="1"/>
        <v>2240</v>
      </c>
      <c r="K9" s="240">
        <f t="shared" si="2"/>
        <v>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0</v>
      </c>
      <c r="G10" s="211"/>
      <c r="H10" s="211">
        <f>H9*B9+B8*H8+H7*B7</f>
        <v>0</v>
      </c>
      <c r="I10" s="211">
        <f>SUBTOTAL(109,Table118[اجمالي الميزان])</f>
        <v>0</v>
      </c>
      <c r="J10" s="242"/>
      <c r="K10" s="240">
        <f>SUBTOTAL(109,Table118[اجمالي])</f>
        <v>0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68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6.7200000000000006</v>
      </c>
      <c r="G15" s="211"/>
      <c r="H15" s="211"/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0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0</v>
      </c>
      <c r="L18" s="241" t="e">
        <f ref="L18:L27" t="shared" si="6">(K18)/$G$84</f>
        <v>#VALUE!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0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0</v>
      </c>
      <c r="L19" s="241" t="e">
        <f t="shared" si="6"/>
        <v>#VALUE!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0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0</v>
      </c>
      <c r="L20" s="241" t="e">
        <f t="shared" si="6"/>
        <v>#VALUE!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0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0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700</v>
      </c>
      <c r="K24" s="240">
        <f t="shared" si="5"/>
        <v>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0</v>
      </c>
      <c r="L27" s="241" t="e">
        <f t="shared" si="6"/>
        <v>#VALUE!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0</v>
      </c>
      <c r="L28" s="244" t="e">
        <f>Table1522[[#Totals],[اجمالي]]/$G$84</f>
        <v>#VALUE!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85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85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1.3333333333333333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533.33333333333326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2.75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100</v>
      </c>
      <c r="K37" s="240">
        <f t="shared" si="10"/>
        <v>275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6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220</v>
      </c>
      <c r="K38" s="240">
        <f t="shared" si="10"/>
        <v>1320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4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2040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62</v>
      </c>
      <c r="D46" s="214"/>
      <c r="E46" s="214"/>
      <c r="F46" s="214"/>
      <c r="G46" s="211" t="s">
        <v>115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475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70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525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78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80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5518.333333333333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210</v>
      </c>
      <c r="J54" s="403">
        <f>Table161027[[#This Row],[سعر الكيلو]]*Table161027[[#This Row],[الوزن]]</f>
        <v>367.5</v>
      </c>
      <c r="K54" s="240">
        <f ref="K54:K55" t="shared" si="13">B54*J54</f>
        <v>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0</v>
      </c>
      <c r="L55" s="241" t="e">
        <f>(Table161027[[#This Row],[اجمالي]])/$G$84</f>
        <v>#VALUE!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0</v>
      </c>
      <c r="L56" s="241" t="e">
        <f>Table161027[[#Totals],[اجمالي]]/$G$84</f>
        <v>#VALUE!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 t="e">
        <f>'Cutting Ro-2'!$O$7</f>
        <v>#VALUE!</v>
      </c>
      <c r="I59" s="247"/>
      <c r="J59" s="40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0" s="240">
        <f t="shared" si="14"/>
        <v>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0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1" s="240">
        <f t="shared" si="14"/>
        <v>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المنوفية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0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2" s="240">
        <f t="shared" si="14"/>
        <v>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المنوفية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0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3" s="240">
        <f t="shared" si="14"/>
        <v>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المنوفية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المنوفية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المنوفية</v>
      </c>
      <c r="G76" s="214"/>
      <c r="H76" s="247">
        <f>SUMIF(Table1731[Column1],Table161229[[#This Row],[موقع العمل]],$O$2:$O$26)</f>
        <v>50</v>
      </c>
      <c r="I76" s="247"/>
      <c r="J76" s="243">
        <f>Table161229[[#This Row],[Column12]]</f>
        <v>50</v>
      </c>
      <c r="K76" s="240">
        <f t="shared" si="14"/>
        <v>1100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-2</v>
      </c>
      <c r="C77" s="220" t="s">
        <v>149</v>
      </c>
      <c r="D77" s="211"/>
      <c r="E77" s="211"/>
      <c r="F77" s="211" t="str">
        <f>تسعير!$T$24</f>
        <v>المنوفية</v>
      </c>
      <c r="G77" s="214"/>
      <c r="H77" s="247">
        <f>SUMIF(Table1731[Column1],Table161229[[#This Row],[موقع العمل]],$P$2:$P$26)</f>
        <v>50</v>
      </c>
      <c r="I77" s="247"/>
      <c r="J77" s="243">
        <f>Table161229[[#This Row],[Column12]]</f>
        <v>50</v>
      </c>
      <c r="K77" s="240">
        <f t="shared" si="14"/>
        <v>-100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المنوفية</v>
      </c>
      <c r="G78" s="214"/>
      <c r="H78" s="247">
        <f>SUMIF(Table1731[Column1],Table161229[[#This Row],[موقع العمل]],$R$2:$R$26)</f>
        <v>1200</v>
      </c>
      <c r="I78" s="247"/>
      <c r="J78" s="243">
        <f>Table161229[[#This Row],[Column12]]</f>
        <v>1200</v>
      </c>
      <c r="K78" s="240">
        <f t="shared" si="14"/>
        <v>2400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المنوفية</v>
      </c>
      <c r="G79" s="214"/>
      <c r="H79" s="247">
        <f>SUMIF(Table1731[Column1],Table161229[[#This Row],[موقع العمل]],$S$2:$S$26)</f>
        <v>2500</v>
      </c>
      <c r="I79" s="247"/>
      <c r="J79" s="243">
        <f>Table161229[[#This Row],[Column12]]</f>
        <v>2500</v>
      </c>
      <c r="K79" s="240">
        <f t="shared" si="14"/>
        <v>2500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-2</v>
      </c>
      <c r="C80" s="220" t="s">
        <v>15</v>
      </c>
      <c r="D80" s="211"/>
      <c r="E80" s="211"/>
      <c r="F80" s="211" t="str">
        <f>تسعير!$T$24</f>
        <v>المنوفية</v>
      </c>
      <c r="G80" s="214"/>
      <c r="H80" s="247">
        <f>SUMIF(Table1731[Column1],Table161229[[#This Row],[موقع العمل]],$T$2:$T$26)</f>
        <v>150</v>
      </c>
      <c r="I80" s="247"/>
      <c r="J80" s="243">
        <f>Table161229[[#This Row],[Column12]]</f>
        <v>150</v>
      </c>
      <c r="K80" s="240">
        <f t="shared" si="14"/>
        <v>-300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3950</v>
      </c>
      <c r="I81" s="560"/>
      <c r="J81" s="564"/>
      <c r="K81" s="565">
        <f>SUBTOTAL(109,Table161229[اجمالي])</f>
        <v>7850</v>
      </c>
      <c r="L81" s="566" t="e">
        <f>Table161229[[#Totals],[اجمالي]]/$G$84</f>
        <v>#VALUE!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0.35</v>
      </c>
      <c r="G85" s="283" t="e">
        <f>G84*(1+Table1832[[#This Row],[Column3]])</f>
        <v>#VALUE!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C117277F-FFCC-4FBF-8337-6C0B6C9BD916}">
      <formula1>$U$4:$U$5</formula1>
    </dataValidation>
    <dataValidation type="list" allowBlank="1" showInputMessage="1" showErrorMessage="1" sqref="F72:F80" xr:uid="{E05D1EBE-03F3-47C1-9A6E-E3C31968F07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5287.5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45715.6415871875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10</v>
      </c>
      <c r="F4" s="384">
        <f>B4*C4*D4*E4</f>
        <v>3290.0000000000005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0.0158772405839228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0.044362878102137231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0.06024011868606003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0.0062263688564403131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0.0034245028710421723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0.0020235698783431016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0.0031131844282201566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1882.9</v>
      </c>
      <c r="F15" s="387">
        <f>SUBTOTAL(109,Table8[اجمالي التكلفة])</f>
        <v>23536.25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0.037358213138641877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0.052145839172687621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0.00070046649634953522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0.00070046649634953522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0.00038914805352751957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0.0023348883211651173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0.0012452737712880626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 ca="1"/>
        <v>0.0032770362402317435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0.033272158576602921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0.036969065085114362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0.040860545620389557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950</v>
      </c>
      <c r="W43" s="251">
        <f t="shared" si="4" ca="1"/>
        <v>0.014787626034045744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950</v>
      </c>
      <c r="W44" s="251">
        <f t="shared" si="4" ca="1"/>
        <v>0.014787626034045744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9593.0263157894733</v>
      </c>
      <c r="W45" s="244">
        <f>Table1359[[#Totals],[اجمالي]]/$R$71</f>
        <v>0.14932430072910985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23536.25</v>
      </c>
      <c r="V50" s="240">
        <f>M50*Table161368[[#This Row],[سعر الشبك ]]</f>
        <v>23536.25</v>
      </c>
      <c r="W50" s="241">
        <f t="shared" si="6" ca="1"/>
        <v>0.36636343499348328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23536.25</v>
      </c>
      <c r="V51" s="240">
        <f>M51*Table161368[[#This Row],[سعر الشبك ]]</f>
        <v>2353.625</v>
      </c>
      <c r="W51" s="241">
        <f t="shared" si="6" ca="1"/>
        <v>0.036636343499348328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25889.875</v>
      </c>
      <c r="W52" s="244">
        <f>Table161368[[#Totals],[اجمالي]]/$R$71</f>
        <v>0.40299977849283164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0.0077829610705503916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0.0077829610705503916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0.011674441605825587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0.011674441605825587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0.065376872992623292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0.049032654744467469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0.032688436496311646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0.041094034452506069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0.027240363746926372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0.071603241849063609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0.00933955328466047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0.33528996291931085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64242.901315789473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83515.771710526315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CA97E07-D030-45C1-AB00-6840B2C3CFCA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7402.5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45715.64158729167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13</v>
      </c>
      <c r="F4" s="384">
        <f>B4*C4*D4*E4</f>
        <v>8554.0000000000018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0.059691424409878839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0.059691424409878839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0.0052360898605156875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0.0028798494232836281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0.0017017292046675983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0.010472179721031375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1100.9</v>
      </c>
      <c r="F17" s="387">
        <f>SUBTOTAL(109,Table823[اجمالي التكلفة])</f>
        <v>38531.5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0.020289848209498289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0.014661051609443926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0.0062833078326188247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0.02094435944206275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0.0039619746611235379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0.00058906010930801487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0.00058906010930801487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0.00098176684884669131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0.0058906010930801483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0.0015708269581547062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/>
        <v>0.0027558367686924667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0.040317891925970795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0.062178567093623786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0.0687236794192684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0.0022583255568404165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0.0022583255568404165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14673.232982456142</v>
      </c>
      <c r="W45" s="516">
        <f>Table135926[[#Totals],[اجمالي]]/$R$71</f>
        <v>0.19207591610105743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38531.5</v>
      </c>
      <c r="V50" s="240">
        <f>M50*Table16136845[[#This Row],[سعر الشبك ]]</f>
        <v>38531.5</v>
      </c>
      <c r="W50" s="241">
        <f t="shared" si="6"/>
        <v>0.50438599115115057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38531.5</v>
      </c>
      <c r="V51" s="240">
        <f>M51*Table16136845[[#This Row],[سعر الشبك ]]</f>
        <v>3853.15</v>
      </c>
      <c r="W51" s="241">
        <f t="shared" si="6"/>
        <v>0.050438599115115057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42384.65</v>
      </c>
      <c r="W52" s="244">
        <f>Table16136845[[#Totals],[اجمالي]]/$R$71</f>
        <v>0.55482459026626563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0.013090224651289218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0.013090224651289218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0.006545112325644609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0.0098176684884669144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0.027489471767707357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0.020617103825780518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0.031416539163094122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0.030107516697965204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0.15217386157123716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76392.88298245614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99310.747877192989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3C260E08-D367-49DD-9ED6-C842DE632C53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3172.5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210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210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22927.125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20535.625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16428.5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40</v>
      </c>
      <c r="E28" s="316">
        <f>Table12[[#This Row],[سعر]]*Table12[[#This Row],[ميزان]]*Table12[[#This Row],[عدد]]</f>
        <v>6400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40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40</v>
      </c>
      <c r="E30" s="316">
        <f>Table12[[#This Row],[سعر]]*Table12[[#This Row],[ميزان]]*Table12[[#This Row],[عدد]]</f>
        <v>2240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60</v>
      </c>
      <c r="E31" s="316">
        <f>Table12[[#This Row],[سعر]]*Table12[[#This Row],[ميزان]]*Table12[[#This Row],[عدد]]</f>
        <v>1800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60</v>
      </c>
      <c r="E32" s="316">
        <f>Table12[[#This Row],[سعر]]*Table12[[#This Row],[ميزان]]*Table12[[#This Row],[عدد]]</f>
        <v>5520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220</v>
      </c>
      <c r="E38" s="342">
        <f>Table12[[#This Row],[سعر]]*Table12[[#This Row],[ميزان]]*Table12[[#This Row],[عدد]]</f>
        <v>2464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220</v>
      </c>
      <c r="E39" s="342">
        <f>Table12[[#This Row],[سعر]]*Table12[[#This Row],[ميزان]]*Table12[[#This Row],[عدد]]</f>
        <v>1232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40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60148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40</v>
      </c>
      <c r="E50" s="342">
        <f>Table12[[#This Row],[سعر]]*Table12[[#This Row],[ميزان]]*Table12[[#This Row],[عدد]]</f>
        <v>1600</v>
      </c>
      <c r="J50" s="213" t="s">
        <v>155</v>
      </c>
      <c r="K50" s="214"/>
      <c r="L50" s="211"/>
      <c r="M50" s="282"/>
      <c r="N50" s="283">
        <f>N49+N48</f>
        <v>60148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78192.400000000009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40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36178</v>
      </c>
      <c r="F54" s="345">
        <f>Table12[[#Totals],[Column5]]/(تسعير!T54*تسعير!T55/10000)</f>
        <v>1447.12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40</v>
      </c>
      <c r="E61" s="316">
        <f>Table1257[[#This Row],[سعر]]*Table1257[[#This Row],[ميزان]]*Table1257[[#This Row],[عدد]]</f>
        <v>6400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40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40</v>
      </c>
      <c r="E63" s="316">
        <f>Table1257[[#This Row],[سعر]]*Table1257[[#This Row],[ميزان]]*Table1257[[#This Row],[عدد]]</f>
        <v>2240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60</v>
      </c>
      <c r="E64" s="316">
        <f>Table1257[[#This Row],[سعر]]*Table1257[[#This Row],[ميزان]]*Table1257[[#This Row],[عدد]]</f>
        <v>5400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60</v>
      </c>
      <c r="E65" s="316">
        <f>Table1257[[#This Row],[سعر]]*Table1257[[#This Row],[ميزان]]*Table1257[[#This Row],[عدد]]</f>
        <v>5520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220</v>
      </c>
      <c r="E72" s="342">
        <f>Table1257[[#This Row],[سعر]]*Table1257[[#This Row],[ميزان]]*Table1257[[#This Row],[عدد]]</f>
        <v>387.2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100</v>
      </c>
      <c r="E73" s="342">
        <f>Table1257[[#This Row],[سعر]]*Table1257[[#This Row],[ميزان]]*Table1257[[#This Row],[عدد]]</f>
        <v>340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40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74971.2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74971.2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40</v>
      </c>
      <c r="E84" s="342">
        <f>Table1257[[#This Row],[سعر]]*Table1257[[#This Row],[ميزان]]*Table1257[[#This Row],[عدد]]</f>
        <v>1200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101211.12000000001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40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39721.2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F9E0BACB-6061-4232-8F3F-C62518B05848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428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77625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45715.64158729167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49680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45715.64158729167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10260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4590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10260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4590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4590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2280</v>
      </c>
      <c r="V6" s="240">
        <f>M6*U6</f>
        <v>2280</v>
      </c>
      <c r="W6" s="241">
        <f>(V6)/$R$68</f>
        <v>0.0094278377584902234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>
        <f>(BQ6)/$R$68</f>
        <v>0.0094278377584902234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4590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>
        <f>(V7)/$R$68</f>
        <v>0.024479298039588648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>
        <f>(BQ7)/$R$68</f>
        <v>0.024479298039588648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1755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>
        <f>(V8)/$R$68</f>
        <v>0.029110516587618932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>
        <f>(BQ8)/$R$68</f>
        <v>0.029110516587618932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15240</v>
      </c>
      <c r="W11" s="244">
        <f>Table15880[[#Totals],[اجمالي]]/$R$68</f>
        <v>0.0630176523856978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>
        <f>Table1588090[[#Totals],[اجمالي]]/$R$68</f>
        <v>0.0630176523856978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0.0033080132485930605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5443.7281250000005</v>
      </c>
      <c r="AX14" s="194"/>
      <c r="AY14" s="194"/>
      <c r="AZ14" s="194"/>
      <c r="BA14" s="194">
        <f>SUBTOTAL(109,Table8091[price])</f>
        <v>79181.5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0.0033080132485930605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0.00090970364336309163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0.00090970364336309163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0.00053755215289637238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0.00053755215289637238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0.0033080132485930605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0.0033080132485930605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0.0080632822934455853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0.0080632822934455853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960</v>
      </c>
      <c r="W22" s="249">
        <f>(V22)/$R$68</f>
        <v>0.0039696158983116726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>
        <f>(BQ22)/$R$68</f>
        <v>0.0039696158983116726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>
        <f>(V23)/$R$68</f>
        <v>0.0023156092740151423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>
        <f>(BQ23)/$R$68</f>
        <v>0.0023156092740151423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8187.85</v>
      </c>
      <c r="C24" s="194"/>
      <c r="D24" s="194"/>
      <c r="E24" s="194"/>
      <c r="F24" s="194">
        <f>SUBTOTAL(109,Table80102114[price])</f>
        <v>148870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30</v>
      </c>
      <c r="V24" s="240">
        <f>M24*U24</f>
        <v>240</v>
      </c>
      <c r="W24" s="251">
        <f>(V24)/$R$68</f>
        <v>0.00099240397457791814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>
        <f>(BQ24)/$R$68</f>
        <v>0.00099240397457791814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1760</v>
      </c>
      <c r="W25" s="244">
        <f>Table166273[[#Totals],[اجمالي]]/$R$68</f>
        <v>0.007277629146904733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>
        <f>Table16627383[[#Totals],[اجمالي]]/$R$68</f>
        <v>0.007277629146904733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0.00031012624205559945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0.0002232908942800316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0.00031012624205559945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0.0002232908942800316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0.00016540066242965302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0.00010337541401853314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0.00062025248411119889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0.00062025248411119889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0.00033080132485930605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0.00033080132485930605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100</v>
      </c>
      <c r="V35" s="240">
        <f t="shared" si="12"/>
        <v>400</v>
      </c>
      <c r="W35" s="251">
        <f t="shared" si="9" ca="1"/>
        <v>0.0016540066242965302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100</v>
      </c>
      <c r="BQ35" s="240">
        <f t="shared" si="10"/>
        <v>400</v>
      </c>
      <c r="BR35" s="251">
        <f t="shared" si="11" ca="1"/>
        <v>0.0016540066242965302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0.076787257532966419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0.04974424922571815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0.039282657327042593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0.039282657327042593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0.04341767388778392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0.04341767388778392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10"/>
        <v>950</v>
      </c>
      <c r="BR40" s="251">
        <f t="shared" si="11" ca="1"/>
        <v>0.0039282657327042595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2"/>
        <v>950</v>
      </c>
      <c r="W41" s="251">
        <f t="shared" si="9" ca="1"/>
        <v>0.0039282657327042595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10"/>
        <v>950</v>
      </c>
      <c r="BR41" s="251">
        <f t="shared" si="11" ca="1"/>
        <v>0.0039282657327042595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2"/>
        <v>950</v>
      </c>
      <c r="W42" s="251">
        <f t="shared" si="9" ca="1"/>
        <v>0.0039282657327042595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41233</v>
      </c>
      <c r="BR42" s="244">
        <f>Table13597166[[#Totals],[اجمالي]]/$R$68</f>
        <v>0.17049913784904708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34750</v>
      </c>
      <c r="W43" s="244">
        <f>Table135971[[#Totals],[اجمالي]]/$R$68</f>
        <v>0.14369182548576107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79181.5</v>
      </c>
      <c r="BQ46" s="252">
        <f>BH46*Table1613687787[[#This Row],[سعر الشبك ]]</f>
        <v>79181.5</v>
      </c>
      <c r="BR46" s="241">
        <f>(BQ46)/$R$68</f>
        <v>0.32741681380433929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148870</v>
      </c>
      <c r="V47" s="252">
        <f>M47*Table16136877[[#This Row],[سعر الشبك ]]</f>
        <v>148870</v>
      </c>
      <c r="W47" s="241">
        <f>(V47)/$R$68</f>
        <v>0.61557991539756118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79181.5</v>
      </c>
      <c r="BQ47" s="240">
        <f>BH47*Table1613687787[[#This Row],[سعر الشبك ]]</f>
        <v>7918.1500000000005</v>
      </c>
      <c r="BR47" s="241">
        <f>(BQ47)/$R$68</f>
        <v>0.032741681380433929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148870</v>
      </c>
      <c r="V48" s="240">
        <f>M48*Table16136877[[#This Row],[سعر الشبك ]]</f>
        <v>14887</v>
      </c>
      <c r="W48" s="241">
        <f>(V48)/$R$68</f>
        <v>0.061557991539756114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87099.65</v>
      </c>
      <c r="BR48" s="244">
        <f>Table1613687787[[#Totals],[اجمالي]]/$R$68</f>
        <v>0.36015849518477316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163757</v>
      </c>
      <c r="W49" s="244">
        <f>Table16136877[[#Totals],[اجمالي]]/$R$68</f>
        <v>0.67713790693731724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0.0020675082803706629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0.0020675082803706629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0.0020675082803706629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0.0020675082803706629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0.0062025248411119883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0.0062025248411119883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0.010751043057927448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0.017367069555113569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0.0080632822934455853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0.013025302166335176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0.010751043057927448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0.017367069555113569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0.0109164437203571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0.0109164437203571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0.0093037872616679833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0.0093037872616679833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0.0190210761794101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0.0190210761794101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0.0034734139110227137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0.0034734139110227137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0.0826176308836117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0.10081170375087352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167262.65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241837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217441.445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314388.10000000003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40000</v>
      </c>
      <c r="T73" s="295">
        <f>Sheet2!B13</f>
        <v>45000</v>
      </c>
      <c r="U73" s="295">
        <f>Sheet2!B14</f>
        <v>210000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45715.64158729167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428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172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45715.64158729167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49680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4590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77625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>
        <f>(BQ76)/$R$68</f>
        <v>0.02778731128818171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10260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3360</v>
      </c>
      <c r="V77" s="240">
        <f>M77*U77</f>
        <v>6720</v>
      </c>
      <c r="W77" s="241">
        <f>(V77)/$R$68</f>
        <v>0.02778731128818171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>
        <f>(BQ77)/$R$68</f>
        <v>0.024479298039588648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10260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1480</v>
      </c>
      <c r="V78" s="240">
        <f>M78*U78</f>
        <v>5920</v>
      </c>
      <c r="W78" s="241">
        <f>(V78)/$R$68</f>
        <v>0.024479298039588648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>
        <f>(BQ78)/$R$68</f>
        <v>0.029110516587618932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4590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1760</v>
      </c>
      <c r="V79" s="240">
        <f>M79*U79</f>
        <v>7040</v>
      </c>
      <c r="W79" s="241">
        <f>(V79)/$R$68</f>
        <v>0.029110516587618932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4590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1755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>
        <f>Table15880101112[[#Totals],[اجمالي]]/$R$68</f>
        <v>0.081377125915389287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19680</v>
      </c>
      <c r="W82" s="244">
        <f>Table15880101[[#Totals],[اجمالي]]/$R$68</f>
        <v>0.081377125915389287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0.0049620198728895911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0.0033080132485930605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5443.7281250000005</v>
      </c>
      <c r="AX85" s="302"/>
      <c r="AY85" s="302"/>
      <c r="AZ85" s="302"/>
      <c r="BA85" s="302">
        <f>SUBTOTAL(109,Table80102113[price])</f>
        <v>79181.5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0.00090970364336309163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0.00090970364336309163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0.00053755215289637238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0.00053755215289637238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0.0019848079491558363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>
        <f>(V88)/$R$68</f>
        <v>0.0033080132485930605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>
        <f>(V89)/$R$68</f>
        <v>0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0.0083940836183048918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>
        <f>Table15617293[[#Totals],[اجمالي]]/$R$68</f>
        <v>0.0080632822934455853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>
        <f>(BQ92)/$R$68</f>
        <v>0.0079392317966233451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1920</v>
      </c>
      <c r="W93" s="249">
        <f>(V93)/$R$68</f>
        <v>0.0079392317966233451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>
        <f>(BQ94)/$R$68</f>
        <v>0.0019848079491558363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30</v>
      </c>
      <c r="V95" s="240">
        <f>M95*U95</f>
        <v>480</v>
      </c>
      <c r="W95" s="251">
        <f>(V95)/$R$68</f>
        <v>0.0019848079491558363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>
        <f>Table16627394105[[#Totals],[اجمالي]]/$R$68</f>
        <v>0.0099240397457791823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2400</v>
      </c>
      <c r="W96" s="244">
        <f>Table16627394[[#Totals],[اجمالي]]/$R$68</f>
        <v>0.0099240397457791823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8187.85</v>
      </c>
      <c r="C97" s="194"/>
      <c r="D97" s="194"/>
      <c r="E97" s="194"/>
      <c r="F97" s="194">
        <f>SUBTOTAL(109,Table80102114115[price])</f>
        <v>148870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0.0002232908942800316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0.00031012624205559945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0.0002232908942800316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0.00031012624205559945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0.00010337541401853314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0.00016540066242965302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0.00062025248411119889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0.00062025248411119889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0.00033080132485930605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0.00033080132485930605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220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100</v>
      </c>
      <c r="BQ105" s="240">
        <f t="shared" si="26"/>
        <v>400</v>
      </c>
      <c r="BR105" s="251">
        <f t="shared" si="27" ca="1"/>
        <v>0.0016540066242965302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100</v>
      </c>
      <c r="V106" s="240">
        <f t="shared" si="31"/>
        <v>400</v>
      </c>
      <c r="W106" s="251">
        <f t="shared" si="29" ca="1"/>
        <v>0.0016540066242965302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>
        <f t="shared" si="27" ca="1"/>
        <v>0.06252145039840884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0.049103321658803246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>
        <f t="shared" si="29" ca="1"/>
        <v>0.06252145039840884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0.0542720923597299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0.049103321658803246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190</v>
      </c>
      <c r="BQ110" s="240">
        <f t="shared" si="26"/>
        <v>950</v>
      </c>
      <c r="BR110" s="251">
        <f t="shared" si="27" ca="1"/>
        <v>0.0039282657327042595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0.0542720923597299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190</v>
      </c>
      <c r="BQ111" s="240">
        <f t="shared" si="26"/>
        <v>950</v>
      </c>
      <c r="BR111" s="251">
        <f t="shared" si="27" ca="1"/>
        <v>0.0039282657327042595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9" ca="1"/>
        <v>0.0039282657327042595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42783</v>
      </c>
      <c r="BR113" s="566">
        <f>Table13597192103[[#Totals],[اجمالي]]/$R$68</f>
        <v>0.17690841351819614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41890</v>
      </c>
      <c r="W114" s="516">
        <f>Table13597192[[#Totals],[اجمالي]]/$R$68</f>
        <v>0.17321584372945414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79181.5</v>
      </c>
      <c r="BQ117" s="252">
        <f>BH117*Table1613687798109[[#This Row],[سعر الشبك ]]</f>
        <v>79181.5</v>
      </c>
      <c r="BR117" s="241">
        <f>(BQ117)/$R$68</f>
        <v>0.32741681380433929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148870</v>
      </c>
      <c r="V118" s="252">
        <f>M118*Table1613687798[[#This Row],[سعر الشبك ]]</f>
        <v>148870</v>
      </c>
      <c r="W118" s="241">
        <f>(V118)/$R$68</f>
        <v>0.61557991539756118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79181.5</v>
      </c>
      <c r="BQ118" s="240">
        <f>BH118*Table1613687798109[[#This Row],[سعر الشبك ]]</f>
        <v>7918.1500000000005</v>
      </c>
      <c r="BR118" s="241">
        <f>(BQ118)/$R$68</f>
        <v>0.032741681380433929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148870</v>
      </c>
      <c r="V119" s="240">
        <f>M119*Table1613687798[[#This Row],[سعر الشبك ]]</f>
        <v>14887</v>
      </c>
      <c r="W119" s="241">
        <f>(V119)/$R$68</f>
        <v>0.061557991539756114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87099.65</v>
      </c>
      <c r="BR119" s="244">
        <f>Table1613687798109[[#Totals],[اجمالي]]/$R$68</f>
        <v>0.36015849518477316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163757</v>
      </c>
      <c r="W120" s="244">
        <f>Table1613687798[[#Totals],[اجمالي]]/$R$68</f>
        <v>0.67713790693731724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0.0020675082803706629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0.0020675082803706629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0.0020675082803706629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0.0020675082803706629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0.0062025248411119883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0.0062025248411119883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0.017367069555113569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0.017367069555113569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0.013025302166335176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0.013025302166335176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0.017367069555113569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0.017367069555113569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0.0109164437203571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0.0109164437203571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0.0093037872616679833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0.0093037872616679833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0.0190210761794101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0.0190210761794101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0.0034734139110227137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0.0034734139110227137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0.10081170375087352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0.10081170375087352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178372.65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254057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231884.445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330274.10000000003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38CC18DB-02D8-4549-AED4-C72A8B013B60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