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<sst xmlns="http://schemas.openxmlformats.org/spreadsheetml/2006/main" count="598" uniqueCount="598">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</sst>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298513.36666666664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14925.668333333331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 t="e">
        <f>'بيرسا و لوفرز'!BM139</f>
        <v>#DIV/0!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 t="e">
        <f>BE42/(BE53*BE54/10000)</f>
        <v>#DIV/0!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197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500</v>
      </c>
      <c r="BM46" s="485">
        <f>BE53</f>
        <v>3500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191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3500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500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 t="e">
        <f>('بيرسا و لوفرز'!BA85+'بيرسا و لوفرز'!BP133+'بيرسا و لوفرز'!BQ125)*1.35</f>
        <v>#DIV/0!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 t="e">
        <f>BD57/(BE53*BE54/10000)</f>
        <v>#DIV/0!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47AF997D-46DA-4C74-B8F9-69443F8965D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1637C25A-7821-448E-A77C-2333202CB692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70746459-F5DC-4108-826B-7BDDD5C7E1A7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262BCAC7-2259-4009-A2B7-A33CC87361D1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EAD38EBE-78D5-4CEC-A38A-54FF9B20EE9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2BAEF598-2427-4F59-AEF8-08F2208DFBEE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5B35D23-0D87-47AB-AF74-9487753AFE1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1B7D6F10-3EE9-417D-90A3-3D370A1CC95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B1F0B47B-F047-4AF0-B367-B3A3DC97006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79FBDBF-9026-4B0F-8734-3EE95C2D5C4C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6B9BD13-29D7-4614-9AB1-10D7FDB0F531}">
          <x14:formula1>
            <xm:f>wavy2!$A$19:$A$20</xm:f>
          </x14:formula1>
          <xm:sqref>BE9</xm:sqref>
        </x14:dataValidation>
        <x14:dataValidation type="list" allowBlank="1" showInputMessage="1" showErrorMessage="1" xr:uid="{7F19472F-FAAF-44C2-8BD2-509F5F92E9D1}">
          <x14:formula1>
            <xm:f>wavy1!$A$19:$A$20</xm:f>
          </x14:formula1>
          <xm:sqref>AT9</xm:sqref>
        </x14:dataValidation>
        <x14:dataValidation type="list" allowBlank="1" showInputMessage="1" showErrorMessage="1" xr:uid="{095A4841-DD78-45C7-843C-011F073FF771}">
          <x14:formula1>
            <xm:f>Sheet2!$B$5:$B$7</xm:f>
          </x14:formula1>
          <xm:sqref>T25 T46 T64</xm:sqref>
        </x14:dataValidation>
        <x14:dataValidation type="list" allowBlank="1" showInputMessage="1" showErrorMessage="1" xr:uid="{FD9B6244-D91F-4821-B305-6E6740DAEE8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FCC6936B-5819-4A3C-974B-FD67DF984FC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BD2B692-D740-44BB-AAC7-918C89086CFB}">
          <x14:formula1>
            <xm:f>Sheet2!$C$5:$C$6</xm:f>
          </x14:formula1>
          <xm:sqref>T26</xm:sqref>
        </x14:dataValidation>
        <x14:dataValidation type="list" allowBlank="1" showInputMessage="1" showErrorMessage="1" xr:uid="{A441CBA9-A6F7-44BA-B55D-279855E71097}">
          <x14:formula1>
            <xm:f>Sheet2!$A$5</xm:f>
          </x14:formula1>
          <xm:sqref>U31</xm:sqref>
        </x14:dataValidation>
        <x14:dataValidation type="list" allowBlank="1" showInputMessage="1" showErrorMessage="1" xr:uid="{9461D4B4-0B97-4C50-ADA8-D231AC9F5CE2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CCDAAF63-9325-4006-BC00-4ACA759DE02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176189D5-364F-4A34-9554-0E757EF52933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8753A66E-A797-43F6-BB86-743764187163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91DB2B7-5BA6-494A-9B12-8474995BA1E9}">
          <x14:formula1>
            <xm:f>Sheet2!$D$5:$D$6</xm:f>
          </x14:formula1>
          <xm:sqref>T32 T53 T71</xm:sqref>
        </x14:dataValidation>
        <x14:dataValidation type="list" allowBlank="1" showInputMessage="1" showErrorMessage="1" xr:uid="{82C981C8-4203-4A01-B9AB-E98D1CD4B1C7}">
          <x14:formula1>
            <xm:f>Sheet2!$A$6</xm:f>
          </x14:formula1>
          <xm:sqref>AC36</xm:sqref>
        </x14:dataValidation>
        <x14:dataValidation type="list" allowBlank="1" showInputMessage="1" showErrorMessage="1" xr:uid="{7AA7C489-A1D7-461C-B3A0-60757013A668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45640.67700920139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D86B199C-3697-490D-9978-92C71ECCA4A9}">
      <formula1>$N$2:$N$20</formula1>
    </dataValidation>
    <dataValidation type="list" allowBlank="1" showInputMessage="1" showErrorMessage="1" sqref="G63:G75" xr:uid="{FEFCB4D8-EC8A-4006-A092-50A380D6623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45640.67700920139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8925D28-00C3-4296-839F-29DF0BD7AB8D}">
      <formula1>$U$4:$U$5</formula1>
    </dataValidation>
    <dataValidation type="list" allowBlank="1" showInputMessage="1" showErrorMessage="1" sqref="F72:F80" xr:uid="{F1E77575-4D24-425D-8417-3CBD3F4F7BB5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45640.67700920139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D2D4A53-01D2-4499-9C33-31C769800F9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45640.67700920139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AD0EF692-DCB5-4311-862D-F98D0DD2D88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8BC1E75D-6D94-4EBA-875D-A978E64B0A5C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45640.67700920139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45640.67700920139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175</v>
      </c>
      <c r="AX72" s="272" t="s">
        <v>428</v>
      </c>
      <c r="AY72" s="273">
        <f>تسعير!BE54</f>
        <v>500</v>
      </c>
      <c r="AZ72" s="272" t="s">
        <v>125</v>
      </c>
      <c r="BA72" s="273">
        <f>تسعير!BE53</f>
        <v>3500</v>
      </c>
      <c r="BC72" s="167"/>
      <c r="BD72" s="167" t="str">
        <f>تسعير!BE52</f>
        <v>قواعد عادية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B32</v>
      </c>
      <c r="BJ73" s="207"/>
      <c r="BK73" s="207"/>
      <c r="BL73" s="296" t="s">
        <v>18</v>
      </c>
      <c r="BM73" s="642">
        <f>NOW()</f>
        <v>45640.677009386571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45640.677009386571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29</v>
      </c>
      <c r="AX74" s="197">
        <f>BA72-16.5</f>
        <v>3483.5</v>
      </c>
      <c r="AY74" s="194" t="s">
        <v>566</v>
      </c>
      <c r="AZ74" s="194">
        <v>2</v>
      </c>
      <c r="BA74" s="194" t="e">
        <f>IF((تسعير!$BE$46="سادة"),(BE74*BC74*AZ74*(Sheet2!$B$14+(Sheet2!B41*1000))/1000),(BE74*BC74*AZ74*(Sheet2!$B$14+Sheet2!$B$15)/1000))</f>
        <v>#DIV/0!</v>
      </c>
      <c r="BC74" s="198">
        <f>IF(AND((AX74&gt;=150),(AX74&lt;201)),4,IF(AND((AX74&gt;=201),(AX74&lt;251)),5,IF(AND((AX74&gt;=251),(AX74&lt;401)),4,IF(AND((AX74&gt;=401),(AX74&lt;501)),5,0))))</f>
        <v>0</v>
      </c>
      <c r="BD74" s="300">
        <f>(BC74*100)/AX74</f>
        <v>0</v>
      </c>
      <c r="BE74" s="185" t="e">
        <f>AW74/(ROUNDDOWN(BD74,0))</f>
        <v>#DIV/0!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3500</v>
      </c>
      <c r="AY75" s="194" t="s">
        <v>566</v>
      </c>
      <c r="AZ75" s="194">
        <v>1.7</v>
      </c>
      <c r="BA75" s="194" t="e">
        <f>IF((تسعير!$BE$46="سادة"),(BE75*BC75*AZ75*(Sheet2!$B$14+(Sheet2!B41*1000))/1000),(BE75*BC75*AZ75*(Sheet2!$B$14+Sheet2!$B$15)/1000))</f>
        <v>#DIV/0!</v>
      </c>
      <c r="BC75" s="198">
        <f>IF(AND((AX75&gt;=200),(AX75&lt;350)),5,IF(AND((AX75&gt;=350),(AX75&lt;400)),7,IF(AND((AX75&gt;=400),(AX75&lt;501)),5,IF(AND((AX75&gt;=501),(AX75&lt;701)),7,0))))</f>
        <v>0</v>
      </c>
      <c r="BD75" s="300">
        <f>(BC75*100)/AX75</f>
        <v>0</v>
      </c>
      <c r="BE75" s="185" t="e">
        <f>AW75/(ROUNDDOWN(BD75,0))</f>
        <v>#DIV/0!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500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4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14.399999999999999</v>
      </c>
      <c r="BM76" s="211"/>
      <c r="BN76" s="211">
        <v>84</v>
      </c>
      <c r="BO76" s="211">
        <f>Table15880101112[[#This Row],[المسطح]]*Table15880101112[[#This Row],[عدد]]</f>
        <v>57.599999999999994</v>
      </c>
      <c r="BP76" s="239">
        <f>BN76*$S$2/1000</f>
        <v>3780</v>
      </c>
      <c r="BQ76" s="240">
        <f>BH76*BP76</f>
        <v>15120</v>
      </c>
      <c r="BR76" s="241">
        <f>(BQ76)/$R$68</f>
        <v>0.060395928867017112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440.8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4.3039999999999994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58</v>
      </c>
      <c r="AY78" s="194" t="s">
        <v>28</v>
      </c>
      <c r="AZ78" s="194">
        <v>17</v>
      </c>
      <c r="BA78" s="194">
        <f>AZ78*AX78</f>
        <v>986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5.076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58</v>
      </c>
      <c r="AY79" s="194" t="s">
        <v>28</v>
      </c>
      <c r="AZ79" s="194">
        <v>12</v>
      </c>
      <c r="BA79" s="194">
        <f>AZ79*AX79</f>
        <v>696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4.2400000000000011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8.57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3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2.16</v>
      </c>
      <c r="BM80" s="242" t="s">
        <v>43</v>
      </c>
      <c r="BN80" s="211"/>
      <c r="BO80" s="211">
        <f>Table15880101112[[#This Row],[المسطح]]*Table15880101112[[#This Row],[عدد]]</f>
        <v>6.48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5.0600000000000005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4.3039999999999994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32.879999999999995</v>
      </c>
      <c r="BM81" s="211"/>
      <c r="BN81" s="211">
        <f>(BN76*BH76)+(BN77*BH77)+(BN78*BH78)+(BN79*BH79)</f>
        <v>660</v>
      </c>
      <c r="BO81" s="211">
        <f>SUBTOTAL(109,Table15880101112[اجمالي المسطح])</f>
        <v>129.35999999999999</v>
      </c>
      <c r="BP81" s="242"/>
      <c r="BQ81" s="240">
        <f>SUBTOTAL(109,Table15880101112[اجمالي])</f>
        <v>29700</v>
      </c>
      <c r="BR81" s="244">
        <f>Table15880101112[[#Totals],[اجمالي]]/$R$68</f>
        <v>0.11863486027449791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10.87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58</v>
      </c>
      <c r="AY82" s="194" t="s">
        <v>28</v>
      </c>
      <c r="AZ82" s="194">
        <v>100</v>
      </c>
      <c r="BA82" s="194">
        <f>AX82*AZ82</f>
        <v>5800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4.2400000000000011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58</v>
      </c>
      <c r="AY83" s="194" t="s">
        <v>28</v>
      </c>
      <c r="AZ83" s="194">
        <v>100</v>
      </c>
      <c r="BA83" s="194">
        <f>AX83*AZ83</f>
        <v>5800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 t="e">
        <f>(Table80102113[[#Totals],[price]]*1.1)/(BA72*AY72/10000)</f>
        <v>#DIV/0!</v>
      </c>
      <c r="AX85" s="302"/>
      <c r="AY85" s="302"/>
      <c r="AZ85" s="302"/>
      <c r="BA85" s="302" t="e">
        <f>SUBTOTAL(109,Table80102113[price])</f>
        <v>#DIV/0!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0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0</v>
      </c>
      <c r="BR87" s="241">
        <f>(BQ87)/$R$68</f>
        <v>0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4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1550</v>
      </c>
      <c r="BR89" s="244">
        <f>Table15617293104[[#Totals],[اجمالي]]/$R$68</f>
        <v>0.00619138159681723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0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0</v>
      </c>
      <c r="BR92" s="249">
        <f>(BQ92)/$R$68</f>
        <v>0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0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0</v>
      </c>
      <c r="BR94" s="251">
        <f>(BQ94)/$R$68</f>
        <v>0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0</v>
      </c>
      <c r="BI95" s="213" t="s">
        <v>58</v>
      </c>
      <c r="BJ95" s="214"/>
      <c r="BK95" s="214"/>
      <c r="BL95" s="216">
        <f>SUBTOTAL(109,Table16627394105[Column12])</f>
        <v>9.6000000000000014</v>
      </c>
      <c r="BM95" s="211"/>
      <c r="BN95" s="211">
        <f>(BN93*BH93)+(BH94*BN94)</f>
        <v>0</v>
      </c>
      <c r="BO95" s="211"/>
      <c r="BP95" s="242"/>
      <c r="BQ95" s="240">
        <f>SUBTOTAL(109,Table16627394105[اجمالي])</f>
        <v>0</v>
      </c>
      <c r="BR95" s="244">
        <f>Table16627394105[[#Totals],[اجمالي]]/$R$68</f>
        <v>0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3.6233333333333331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1449.3333333333333</v>
      </c>
      <c r="BR98" s="241">
        <f ref="BR98:BR112" t="shared" si="27" ca="1">(BQ98)/$R$68</f>
        <v>0.0057892746630024338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2.8566666666666669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1142.6666666666667</v>
      </c>
      <c r="W99" s="241">
        <f ref="W99:W113" t="shared" si="29" ca="1">(V99)/$R$68</f>
        <v>0.0045643131427719284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1250</v>
      </c>
      <c r="BR104" s="251">
        <f t="shared" si="27" ca="1"/>
        <v>0.0049930496748526055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1250</v>
      </c>
      <c r="W105" s="251">
        <f t="shared" si="29" ca="1"/>
        <v>0.0049930496748526055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630</v>
      </c>
      <c r="BR105" s="251">
        <f t="shared" si="27" ca="1"/>
        <v>0.002516497036125713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630</v>
      </c>
      <c r="W106" s="251">
        <f t="shared" si="29" ca="1"/>
        <v>0.002516497036125713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11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5610</v>
      </c>
      <c r="BR106" s="251">
        <f t="shared" si="27" ca="1"/>
        <v>0.02240880694073849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9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4590</v>
      </c>
      <c r="W107" s="251">
        <f t="shared" si="29" ca="1"/>
        <v>0.018334478406058768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0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0</v>
      </c>
      <c r="W110" s="251">
        <f t="shared" si="29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0</v>
      </c>
      <c r="W111" s="251">
        <f t="shared" si="29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9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9302.3333333333321</v>
      </c>
      <c r="BR113" s="566">
        <f>Table13597192103[[#Totals],[اجمالي]]/$R$68</f>
        <v>0.037157609940296439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8032.666666666667</v>
      </c>
      <c r="W114" s="516">
        <f>Table13597192[[#Totals],[اجمالي]]/$R$68</f>
        <v>0.032086002950559488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 t="e">
        <f>Table80102113[[#Totals],[price]]</f>
        <v>#DIV/0!</v>
      </c>
      <c r="BQ117" s="252" t="e">
        <f>BH117*Table1613687798109[[#This Row],[سعر الشبك ]]</f>
        <v>#DIV/0!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 t="e">
        <f>BQ117</f>
        <v>#DIV/0!</v>
      </c>
      <c r="BQ118" s="240" t="e">
        <f>BH118*Table1613687798109[[#This Row],[سعر الشبك ]]</f>
        <v>#DIV/0!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 t="e">
        <f>SUBTOTAL(109,Table1613687798109[اجمالي])</f>
        <v>#DIV/0!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 t="e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#DIV/0!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229625.66666666666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 t="e">
        <f>BM138*(1+Table187079100111[[#This Row],[Column3]])</f>
        <v>#DIV/0!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298513.36666666664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E95F5ABD-CCD6-4BDC-92E5-1FDEA4158A77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