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<sst xmlns="http://schemas.openxmlformats.org/spreadsheetml/2006/main" count="598" uniqueCount="598">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</sst>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40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328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319" totalsRowDxfId="2318"/>
    <tableColumn id="2" name="عدد" dataDxfId="2344" totalsRowDxfId="231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BP28</calculatedColumnFormula>
    </tableColumn>
    <tableColumn id="8" name="اجمالي" totalsRowFunction="sum" dataDxfId="2349" totalsRowDxfId="2374">
      <calculatedColumnFormula>BH98*BP99</calculatedColumnFormula>
    </tableColumn>
    <tableColumn id="9" name="%" totalsRowFunction="custom" totalsRowDxfId="237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319" totalsRowDxfId="2318"/>
    <tableColumn id="2" name="عدد" dataDxfId="2344" totalsRowDxfId="2318">
      <calculatedColumnFormula>IF((#REF!="بالتات"),0,4)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53" totalsRowDxfId="2373">
      <calculatedColumnFormula>Sheet2!AW26</calculatedColumnFormula>
    </tableColumn>
    <tableColumn id="8" name="اجمالي" totalsRowFunction="sum" dataDxfId="2349" totalsRowDxfId="2374">
      <calculatedColumnFormula>BH84*BP84</calculatedColumnFormula>
    </tableColumn>
    <tableColumn id="9" name="%" totalsRowFunction="custom" totalsRowDxfId="237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319"/>
    <tableColumn id="2" name="عدد" totalsRowFunction="sum" dataDxfId="2319">
      <calculatedColumnFormula>BH90*4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(Table16627394105[[#This Row],[Column1]]*Table16627394105[[#This Row],[Column2]])*Table16627394105[[#This Row],[عدد]]</calculatedColumnFormula>
    </tableColumn>
    <tableColumn id="4" name="الوحده" dataDxfId="2319"/>
    <tableColumn id="5" name="الوزن" totalsRowFunction="custom">
      <totalsRowFormula>(BN93*BH93)+(BH94*BN94)</totalsRowFormula>
    </tableColumn>
    <tableColumn id="6" name="سعر الكيلو" dataDxfId="2344"/>
    <tableColumn id="7" name="سعر الشبك " dataDxfId="2363">
      <calculatedColumnFormula>BN92*$S$2/1000</calculatedColumnFormula>
    </tableColumn>
    <tableColumn id="8" name="اجمالي" totalsRowFunction="sum" dataDxfId="234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364"/>
    <tableColumn id="2" name="المعدل" dataDxfId="2364"/>
    <tableColumn id="3" name="الوحدة" dataDxfId="2364"/>
    <tableColumn id="4" name="Column4" dataDxfId="2346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IF((تسعير!$AU$14="بالتات"),0,BH119-2)</calculatedColumnFormula>
    </tableColumn>
    <tableColumn id="3" name="بيان" totalsRowLabel="Total" dataDxfId="2392" totalsRowDxfId="2318"/>
    <tableColumn id="5" name="اليومية / الاجرة" dataDxfId="2392" totalsRowDxfId="2318"/>
    <tableColumn id="6" name="بدل الوجبة" dataDxfId="2377" totalsRowDxfId="2318"/>
    <tableColumn id="11" name="موقع العمل" dataDxfId="2352" totalsRowDxfId="2318">
      <calculatedColumnFormula>تسعير!$BE$44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SUMIF(Table17697899110[Column1],Table1612677697108[[#This Row],[موقع العمل]],$AE$2:$AE$8)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Table1612677697108[[#This Row],[Column12]]</calculatedColumnFormula>
    </tableColumn>
    <tableColumn id="8" name="اجمالي" totalsRowFunction="sum" dataDxfId="2349" totalsRowDxfId="2374">
      <calculatedColumnFormula>BH122*BP122</calculatedColumnFormula>
    </tableColumn>
    <tableColumn id="9" name="%" totalsRowFunction="custom" totalsRowDxfId="237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352"/>
    <tableColumn id="2" name="عدد" dataDxfId="2386">
      <calculatedColumnFormula>IF((BL133="الاسكندرية"),0.25,0.1)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BQ116</calculatedColumnFormula>
    </tableColumn>
    <tableColumn id="8" name="اجمالي" totalsRowFunction="sum" dataDxfId="234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IF((BL133="المقطم"),0.3,IF((BL133="التجمع"),0.3,IF((BL133="الشيخ زايد"),0.3,IF((BL133="الاسكندرية"),0.5,0.35))))</calculatedColumnFormula>
    </tableColumn>
    <tableColumn id="2" name="Column2" dataDxfId="238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319" totalsRowDxfId="2318"/>
    <tableColumn id="2" name="عدد" dataDxfId="2319" totalsRowDxfId="2318">
      <calculatedColumnFormula>IF(OR((BI69="B11"),(BI69="B12"),(BI69="B21"),(BI69="B22"),(BI69="B31"),(BI69="B32")),3,0)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(Table15880101112[[#This Row],[Column1]]+Table15880101112[[#This Row],[Column2]])*12*Table15880101112[[#This Row],[عدد]]</calculatedColumnFormula>
    </tableColumn>
    <tableColumn id="4" name="الوحده" dataDxfId="2319" totalsRowDxfId="2318"/>
    <tableColumn id="5" name="الوزن" totalsRowFunction="custom" totalsRowDxfId="2318">
      <totalsRowFormula>(BN76*BH76)+(BN77*BH77)+(BN78*BH78)+(BN79*BH79)</totalsRowFormula>
    </tableColumn>
    <tableColumn id="6" name="اجمالي المسطح" totalsRowFunction="sum" dataDxfId="2344" totalsRowDxfId="2318">
      <calculatedColumnFormula>Table15880101112[[#This Row],[المسطح]]*Table15880101112[[#This Row],[عدد]]</calculatedColumnFormula>
    </tableColumn>
    <tableColumn id="7" name="سعر الشبك " dataDxfId="2397" totalsRowDxfId="2373">
      <calculatedColumnFormula>BN76*$S$2/1000</calculatedColumnFormula>
    </tableColumn>
    <tableColumn id="8" name="اجمالي" totalsRowFunction="sum" dataDxfId="2349" totalsRowDxfId="2374">
      <calculatedColumnFormula>BH76*BP76</calculatedColumnFormula>
    </tableColumn>
    <tableColumn id="9" name="%" totalsRowFunction="custom" totalsRowDxfId="237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319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32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398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2395" totalsRowDxfId="1398"/>
    <tableColumn id="4" name="Column2" dataDxfId="2398" totalsRowDxfId="2399"/>
    <tableColumn id="5" name="wt/m" dataDxfId="2395" totalsRowDxfId="2396"/>
    <tableColumn id="6" name="price" totalsRowFunction="sum" dataDxfId="1397" totalsRowDxfId="2399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400"/>
    <tableColumn id="2" name="عدد" totalsRowFunction="custom" dataDxfId="2401" totalsRowDxfId="2402">
      <totalsRowFormula>(Table80102114[[#Totals],[price]]*1.1)/(F1*D1/10000)</totalsRowFormula>
    </tableColumn>
    <tableColumn id="3" name="طول" dataDxfId="1401" totalsRowDxfId="2396"/>
    <tableColumn id="4" name="Column2" dataDxfId="1401" totalsRowDxfId="1398"/>
    <tableColumn id="5" name="wt/m" dataDxfId="2403" totalsRowDxfId="2404"/>
    <tableColumn id="6" name="price" totalsRowFunction="sum" dataDxfId="2401" totalsRowDxfId="2399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2403" totalsRowDxfId="145">
  <autoFilter ref="A75:F96"/>
  <tableColumns count="6">
    <tableColumn id="1" name="Column1" totalsRowLabel="Total" dataDxfId="2401" totalsRowDxfId="1399"/>
    <tableColumn id="2" name="عدد" totalsRowFunction="custom" dataDxfId="1401" totalsRowDxfId="1400">
      <totalsRowFormula>(Table80102114115[[#Totals],[price]]*1.1)/(F74*D74/10000)</totalsRowFormula>
    </tableColumn>
    <tableColumn id="3" name="طول" dataDxfId="2405" totalsRowDxfId="2396"/>
    <tableColumn id="4" name="Column2" dataDxfId="2403" totalsRowDxfId="1398"/>
    <tableColumn id="5" name="wt/m" dataDxfId="2401" totalsRowDxfId="2406"/>
    <tableColumn id="6" name="price" totalsRowFunction="sum" dataDxfId="1401" totalsRowDxfId="240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319"/>
    <tableColumn id="2" name="عدد" dataDxfId="2319">
      <calculatedColumnFormula>IF((F74="الاسكندرية"),0.25,0.1)</calculatedColumnFormula>
    </tableColumn>
    <tableColumn id="3" name="بيان برجولا رويال" totalsRowLabel="Total" dataDxfId="2319"/>
    <tableColumn id="12" name="Column12" totalsRowFunction="sum" dataDxfId="1366"/>
    <tableColumn id="5" name="Column1" dataDxfId="2319"/>
    <tableColumn id="11" name="العرض" dataDxfId="2330"/>
    <tableColumn id="10" name="الامتداد" dataDxfId="2314"/>
    <tableColumn id="4" name="سعر المتر" dataDxfId="2331"/>
    <tableColumn id="6" name="Column2" dataDxfId="225"/>
    <tableColumn id="7" name="سعر البرجولا كاملة" dataDxfId="2332">
      <calculatedColumnFormula>(K57)</calculatedColumnFormula>
    </tableColumn>
    <tableColumn id="8" name="اجمالي" totalsRowFunction="sum" dataDxfId="232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319" totalsRowDxfId="2318"/>
    <tableColumn id="2" name="عدد" dataDxfId="196" totalsRowDxfId="2318">
      <calculatedColumnFormula>B60</calculatedColumnFormula>
    </tableColumn>
    <tableColumn id="3" name="بيان" totalsRowLabel="Total" dataDxfId="226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1369" totalsRowDxfId="2318">
      <calculatedColumnFormula>تسعير!$T$4</calculatedColumnFormula>
    </tableColumn>
    <tableColumn id="10" name="شيفت العمل" dataDxfId="2319" totalsRowDxfId="2318"/>
    <tableColumn id="12" name="Column12" totalsRowFunction="sum" dataDxfId="1366" totalsRowDxfId="1367">
      <calculatedColumnFormula>SUMIF(Table17[Column1],Table1612[[#This Row],[موقع العمل]],$T$2:$T$20)</calculatedColumnFormula>
    </tableColumn>
    <tableColumn id="4" name="عدد الايام" dataDxfId="221" totalsRowDxfId="2318"/>
    <tableColumn id="7" name="اجمالي التكلفة للعامل" dataDxfId="220" totalsRowDxfId="1362">
      <calculatedColumnFormula>Table1612[[#This Row],[Column12]]</calculatedColumnFormula>
    </tableColumn>
    <tableColumn id="8" name="اجمالي" totalsRowFunction="sum" dataDxfId="2329" totalsRowDxfId="1364">
      <calculatedColumnFormula>B63*J63</calculatedColumnFormula>
    </tableColumn>
    <tableColumn id="9" name="%" totalsRowFunction="custom" totalsRowDxfId="136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333"/>
    <tableColumn id="4" name="بدل الوجبة" dataDxfId="1373"/>
    <tableColumn id="5" name="دبابة" dataDxfId="1373"/>
    <tableColumn id="6" name="جامبو" dataDxfId="2334"/>
    <tableColumn id="7" name="الاقامة" dataDxfId="233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69"/>
    <tableColumn id="4" name="Column22" dataDxfId="2335"/>
    <tableColumn id="5" name="Column23" dataDxfId="2330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33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319" totalsRowDxfId="2318"/>
    <tableColumn id="2" name="عدد" dataDxfId="2319" totalsRowDxfId="231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37" totalsRowDxfId="1367">
      <calculatedColumnFormula>(Table118[[#This Row],[Column1]]+Table118[[#This Row],[Column2]])*12*Table118[[#This Row],[عدد]]</calculatedColumnFormula>
    </tableColumn>
    <tableColumn id="4" name="الوحده" dataDxfId="2319" totalsRowDxfId="2318"/>
    <tableColumn id="5" name="الوزن" totalsRowFunction="custom" dataDxfId="2319" totalsRowDxfId="2318">
      <totalsRowFormula>H9*B9+B8*H8+H7*B7</totalsRowFormula>
    </tableColumn>
    <tableColumn id="6" name="اجمالي الميزان" totalsRowFunction="sum" dataDxfId="1358" totalsRowDxfId="2318">
      <calculatedColumnFormula>Table118[[#This Row],[الوزن]]*Table118[[#This Row],[عدد]]</calculatedColumnFormula>
    </tableColumn>
    <tableColumn id="7" name="سعر الشبك " dataDxfId="2321" totalsRowDxfId="2338">
      <calculatedColumnFormula>H6*$H$2/1000</calculatedColumnFormula>
    </tableColumn>
    <tableColumn id="8" name="اجمالي" totalsRowFunction="sum" dataDxfId="2322" totalsRowDxfId="2339">
      <calculatedColumnFormula>B6*J6</calculatedColumnFormula>
    </tableColumn>
    <tableColumn id="9" name="%" totalsRowFunction="custom" totalsRowDxfId="2340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319" totalsRowDxfId="2318"/>
    <tableColumn id="2" name="عدد" dataDxfId="2341" totalsRowDxfId="2318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20" totalsRowDxfId="2318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319" totalsRowDxfId="2318">
      <calculatedColumnFormula>Sheet2!B7</calculatedColumnFormula>
    </tableColumn>
    <tableColumn id="7" name="سعر الشبك " dataDxfId="2332" totalsRowDxfId="2323"/>
    <tableColumn id="8" name="اجمالي" totalsRowFunction="sum" dataDxfId="1363" totalsRowDxfId="2324">
      <calculatedColumnFormula>B36*Table1319[[#This Row],[سعر الكيلو]]</calculatedColumnFormula>
    </tableColumn>
    <tableColumn id="9" name="%" totalsRowFunction="custom" totalsRowDxfId="232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319"/>
    <tableColumn id="2" name="عدد" dataDxfId="2319">
      <calculatedColumnFormula>IF((تسعير!X30&lt;800),0,IF(AND((تسعير!X30&gt;800),(600&gt;=تسعير!AA32)),1,0))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16">
      <calculatedColumnFormula>(Table1421[[#This Row],[Column1]]+Table1421[[#This Row],[Column2]])*12*Table1421[[#This Row],[عدد]]</calculatedColumnFormula>
    </tableColumn>
    <tableColumn id="4" name="الوحده" dataDxfId="2319"/>
    <tableColumn id="5" name="الوزن" dataDxfId="2319"/>
    <tableColumn id="6" name="سعر الكيلو" totalsRowFunction="sum" dataDxfId="2314">
      <calculatedColumnFormula>Table1421[[#This Row],[الوزن]]*Table1421[[#This Row],[عدد]]</calculatedColumnFormula>
    </tableColumn>
    <tableColumn id="7" name="سعر الشبك " dataDxfId="2321">
      <calculatedColumnFormula>H13*$I$2/1000</calculatedColumnFormula>
    </tableColumn>
    <tableColumn id="8" name="اجمالي" totalsRowFunction="sum" dataDxfId="234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319" totalsRowDxfId="2318"/>
    <tableColumn id="2" name="عدد" dataDxfId="2312" totalsRowDxfId="231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26" totalsRowDxfId="2343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Sheet2!B22</calculatedColumnFormula>
    </tableColumn>
    <tableColumn id="8" name="اجمالي" totalsRowFunction="sum" dataDxfId="2329" totalsRowDxfId="2339">
      <calculatedColumnFormula>B18*J18</calculatedColumnFormula>
    </tableColumn>
    <tableColumn id="9" name="%" totalsRowFunction="custom" totalsRowDxfId="2340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319"/>
    <tableColumn id="2" name="عدد" totalsRowFunction="count" dataDxfId="1358">
      <calculatedColumnFormula>B30*4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(Table1624[[#This Row],[Column1]]*Table1624[[#This Row],[Column2]])*Table1624[[#This Row],[عدد]]</calculatedColumnFormula>
    </tableColumn>
    <tableColumn id="4" name="الوحده" dataDxfId="2319"/>
    <tableColumn id="5" name="الوزن" totalsRowFunction="custom">
      <totalsRowFormula>H31*B31+H32*B32</totalsRowFormula>
    </tableColumn>
    <tableColumn id="6" name="سعر الكيلو" dataDxfId="2344">
      <calculatedColumnFormula>$H$2/1000</calculatedColumnFormula>
    </tableColumn>
    <tableColumn id="7" name="سعر الشبك " dataDxfId="2345">
      <calculatedColumnFormula>H31*$H$2/1000</calculatedColumnFormula>
    </tableColumn>
    <tableColumn id="8" name="اجمالي" totalsRowFunction="sum" dataDxfId="232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1368"/>
    <tableColumn id="3" name="الوحدة" dataDxfId="2346"/>
    <tableColumn id="4" name="Column4" dataDxfId="232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319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2335"/>
    <tableColumn id="11" name="Column2" dataDxfId="2330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1370"/>
    <tableColumn id="7" name="سعر الشبك " dataDxfId="1379">
      <calculatedColumnFormula>Sheet2!B31</calculatedColumnFormula>
    </tableColumn>
    <tableColumn id="8" name="اجمالي" totalsRowFunction="sum" dataDxfId="1363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319"/>
    <tableColumn id="2" name="عدد" dataDxfId="2319">
      <calculatedColumnFormula>IF((F79="الاسكندرية"),0.25,0.1)</calculatedColumnFormula>
    </tableColumn>
    <tableColumn id="3" name="بيان برجولا رويال" totalsRowLabel="Total" dataDxfId="2319"/>
    <tableColumn id="12" name="Column12" totalsRowFunction="sum" dataDxfId="2326"/>
    <tableColumn id="5" name="Column1" dataDxfId="2319"/>
    <tableColumn id="11" name="العرض" dataDxfId="1369"/>
    <tableColumn id="10" name="الامتداد" dataDxfId="2344"/>
    <tableColumn id="4" name="سعر المتر" dataDxfId="2347"/>
    <tableColumn id="6" name="Column2" dataDxfId="2348"/>
    <tableColumn id="7" name="سعر البرجولا كاملة" dataDxfId="2332">
      <calculatedColumnFormula>K58</calculatedColumnFormula>
    </tableColumn>
    <tableColumn id="8" name="اجمالي" totalsRowFunction="sum" dataDxfId="234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319" totalsRowDxfId="2318"/>
    <tableColumn id="2" name="عدد" dataDxfId="2350" totalsRowDxfId="2318">
      <calculatedColumnFormula>B65</calculatedColumnFormula>
    </tableColumn>
    <tableColumn id="3" name="بيان" totalsRowLabel="Total" dataDxfId="2351" totalsRowDxfId="2318"/>
    <tableColumn id="5" name="اليومية / الاجرة" dataDxfId="120" totalsRowDxfId="2318"/>
    <tableColumn id="6" name="بدل الوجبة" dataDxfId="1372" totalsRowDxfId="2318"/>
    <tableColumn id="11" name="موقع العمل" dataDxfId="2336" totalsRowDxfId="2318">
      <calculatedColumnFormula>تسعير!$T$24</calculatedColumnFormula>
    </tableColumn>
    <tableColumn id="10" name="شيفت العمل" dataDxfId="2319" totalsRowDxfId="2318"/>
    <tableColumn id="12" name="Column12" totalsRowFunction="sum" dataDxfId="1366" totalsRowDxfId="2327">
      <calculatedColumnFormula>SUMIF(Table1731[Column1],Table161229[[#This Row],[موقع العمل]],$T$2:$T$26)</calculatedColumnFormula>
    </tableColumn>
    <tableColumn id="4" name="عدد الايام" dataDxfId="1380" totalsRowDxfId="2318"/>
    <tableColumn id="7" name="اجمالي التكلفة للعامل" dataDxfId="1381" totalsRowDxfId="2323">
      <calculatedColumnFormula>Table161229[[#This Row],[Column12]]</calculatedColumnFormula>
    </tableColumn>
    <tableColumn id="8" name="اجمالي" totalsRowFunction="sum" dataDxfId="2349" totalsRowDxfId="2324">
      <calculatedColumnFormula>B68*J68</calculatedColumnFormula>
    </tableColumn>
    <tableColumn id="9" name="%" totalsRowFunction="custom" totalsRowDxfId="232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335" totalsRowDxfId="2318"/>
    <tableColumn id="2" name="عدد" dataDxfId="2330" totalsRowDxfId="2318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330" totalsRowDxfId="2318"/>
    <tableColumn id="11" name="Column2" dataDxfId="1369" totalsRowDxfId="2318"/>
    <tableColumn id="10" name="Column1" dataDxfId="2352" totalsRowDxfId="2318"/>
    <tableColumn id="12" name="Column12" totalsRowFunction="sum" dataDxfId="213" totalsRowDxfId="2343"/>
    <tableColumn id="4" name="الوحده" dataDxfId="233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1362"/>
    <tableColumn id="8" name="اجمالي" totalsRowFunction="sum" dataDxfId="2349" totalsRowDxfId="1364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354"/>
    <tableColumn id="2" name="خارجي" dataDxfId="2346"/>
    <tableColumn id="3" name="داخلي" dataDxfId="2328"/>
    <tableColumn id="4" name="بدل الوجبة" dataDxfId="1368"/>
    <tableColumn id="5" name="دبابة" dataDxfId="2354"/>
    <tableColumn id="6" name="جامبو" dataDxfId="2346"/>
    <tableColumn id="7" name="الاقامة" dataDxfId="232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69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2334" totalsRowDxfId="887"/>
    <tableColumn id="6" name="الطول بالمتر" dataDxfId="2333" totalsRowDxfId="1383"/>
    <tableColumn id="5" name="وزن المتر " dataDxfId="1373" totalsRowDxfId="2355"/>
    <tableColumn id="4" name="سعر الكيلو" dataDxfId="2356" totalsRowDxfId="1383"/>
    <tableColumn id="3" name="اجمالي عدد " totalsRowFunction="custom" totalsRowDxfId="1383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334" totalsRowDxfId="2357"/>
    <tableColumn id="10" name="Column2" dataDxfId="2333" totalsRowDxfId="2355"/>
    <tableColumn id="11" name="Column3" dataDxfId="1373" totalsRowDxfId="2357"/>
    <tableColumn id="12" name="Column4" dataDxfId="2358" totalsRowDxfId="235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21" totalsRowDxfId="2359">
      <calculatedColumnFormula>Sheet2!B2</calculatedColumnFormula>
    </tableColumn>
    <tableColumn id="8" name="اجمالي" totalsRowFunction="sum" dataDxfId="2349" totalsRowDxfId="2360">
      <calculatedColumnFormula>M26*U26</calculatedColumnFormula>
    </tableColumn>
    <tableColumn id="9" name="%" totalsRowFunction="custom" totalsRowDxfId="136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61" totalsRowDxfId="232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Sheet2!B24</calculatedColumnFormula>
    </tableColumn>
    <tableColumn id="8" name="اجمالي" totalsRowFunction="sum" dataDxfId="2349" totalsRowDxfId="2339">
      <calculatedColumnFormula>M11*U11</calculatedColumnFormula>
    </tableColumn>
    <tableColumn id="9" name="%" totalsRowFunction="custom" totalsRowDxfId="236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(Table1662[[#This Row],[Column1]]*Table1662[[#This Row],[Column2]])*Table1662[[#This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68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319" totalsRowDxfId="2318"/>
    <tableColumn id="2" name="عدد" dataDxfId="2336" totalsRowDxfId="2318">
      <calculatedColumnFormula>IF((تسعير!$AU$14="بالتات"),0,M52-2)</calculatedColumnFormula>
    </tableColumn>
    <tableColumn id="3" name="بيان" totalsRowLabel="Total" dataDxfId="1371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2352" totalsRowDxfId="2318">
      <calculatedColumnFormula>تسعير!$AT$4</calculatedColumnFormula>
    </tableColumn>
    <tableColumn id="10" name="شيفت العمل" dataDxfId="2319" totalsRowDxfId="2318"/>
    <tableColumn id="12" name="Column12" totalsRowFunction="sum" dataDxfId="2326" totalsRowDxfId="1367">
      <calculatedColumnFormula>SUMIF(Table1769[Column1],Table161267[[#This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23">
      <calculatedColumnFormula>Table161267[[#This Row],[Column12]]</calculatedColumnFormula>
    </tableColumn>
    <tableColumn id="8" name="اجمالي" totalsRowFunction="sum" dataDxfId="2349" totalsRowDxfId="2324">
      <calculatedColumnFormula>M55*U55</calculatedColumnFormula>
    </tableColumn>
    <tableColumn id="9" name="%" totalsRowFunction="custom" totalsRowDxfId="234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352"/>
    <tableColumn id="2" name="عدد" dataDxfId="2335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1384"/>
    <tableColumn id="4" name="الوحده" dataDxfId="2347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IF((Q66="المقطم"),0.3,IF((Q66="التجمع"),0.3,IF((Q66="الشيخ زايد"),0.3,IF((Q66="الاسكندرية"),0.5,0.35))))</calculatedColumnFormula>
    </tableColumn>
    <tableColumn id="2" name="Column2" dataDxfId="1369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IF((N2="A1"),2,IF((N2="A2"),3,IF((N2="B1"),2.5,IF((N2="B2"),3,0))))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1366">
      <calculatedColumnFormula>(Table158[[#This Row],[Column1]]+Table158[[#This Row],[Column2]])*12*Table158[[#This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totalsRowFunction="sum" dataDxfId="2344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2358" totalsRowDxfId="1383"/>
    <tableColumn id="6" name="الطول بالمتر" dataDxfId="2358" totalsRowDxfId="2369"/>
    <tableColumn id="5" name="وزن المتر " dataDxfId="2358" totalsRowDxfId="2357"/>
    <tableColumn id="4" name="سعر الكيلو" dataDxfId="2358" totalsRowDxfId="2355"/>
    <tableColumn id="3" name="اجمالي عدد " totalsRowFunction="custom" totalsRowDxfId="1383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358" totalsRowDxfId="2370"/>
    <tableColumn id="10" name="Column2" dataDxfId="2358" totalsRowDxfId="2370"/>
    <tableColumn id="11" name="Column3" dataDxfId="2358" totalsRowDxfId="2370"/>
    <tableColumn id="12" name="Column4" dataDxfId="2358" totalsRowDxfId="2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1362">
      <calculatedColumnFormula>Sheet2!B2</calculatedColumnFormula>
    </tableColumn>
    <tableColumn id="8" name="اجمالي" totalsRowFunction="sum" dataDxfId="2349" totalsRowDxfId="1364">
      <calculatedColumnFormula>M26*U26</calculatedColumnFormula>
    </tableColumn>
    <tableColumn id="9" name="%" totalsRowFunction="custom" totalsRowDxfId="232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72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Sheet2!B24</calculatedColumnFormula>
    </tableColumn>
    <tableColumn id="8" name="اجمالي" totalsRowFunction="sum" dataDxfId="2349" totalsRowDxfId="2374">
      <calculatedColumnFormula>M11*U11</calculatedColumnFormula>
    </tableColumn>
    <tableColumn id="9" name="%" totalsRowFunction="custom" totalsRowDxfId="1365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(Table166241[[#This Row],[Column1]]*Table166241[[#This Row],[Column2]])*Table166241[[#This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319" totalsRowDxfId="2318"/>
    <tableColumn id="2" name="عدد" dataDxfId="2375" totalsRowDxfId="2318">
      <calculatedColumnFormula>IF((تسعير!$BF$14="بالتات"),0,M52-2)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تسعير!$BE$4</calculatedColumnFormula>
    </tableColumn>
    <tableColumn id="10" name="شيفت العمل" dataDxfId="2319" totalsRowDxfId="2318"/>
    <tableColumn id="12" name="Column12" totalsRowFunction="sum" dataDxfId="2371" totalsRowDxfId="2343"/>
    <tableColumn id="4" name="عدد الايام" dataDxfId="1380" totalsRowDxfId="2318"/>
    <tableColumn id="7" name="اجمالي التكلفة للعامل" dataDxfId="1381" totalsRowDxfId="2373">
      <calculatedColumnFormula>Table16126744[[#This Row],[Column12]]</calculatedColumnFormula>
    </tableColumn>
    <tableColumn id="8" name="اجمالي" totalsRowFunction="sum" dataDxfId="2349" totalsRowDxfId="2374">
      <calculatedColumnFormula>M55*U55</calculatedColumnFormula>
    </tableColumn>
    <tableColumn id="9" name="%" totalsRowFunction="custom" totalsRowDxfId="237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352"/>
    <tableColumn id="2" name="عدد" dataDxfId="2350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358"/>
    <tableColumn id="2" name="خارجي" dataDxfId="2358"/>
    <tableColumn id="3" name="داخلي" dataDxfId="2358"/>
    <tableColumn id="4" name="بدل الوجبة" dataDxfId="2358"/>
    <tableColumn id="5" name="دبابة" dataDxfId="2358"/>
    <tableColumn id="6" name="جامبو" dataDxfId="2358"/>
    <tableColumn id="7" name="الاقامة" dataDxfId="2358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33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IF((N2="c1"),3,IF((N2="c2"),4,IF((N2="d1"),4,IF((N2="d2"),5,0))))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2371">
      <calculatedColumnFormula>(Table15855[[#This Row],[Column1]]+Table15855[[#This Row],[Column2]])*12*Table15855[[#This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dataDxfId="2344"/>
    <tableColumn id="7" name="سعر الشبك " dataDxfId="1387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358"/>
    <tableColumn id="2" name="المقاس" dataDxfId="2358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312" totalsRowDxfId="2313"/>
    <tableColumn id="11" name="Column2" dataDxfId="1358" totalsRowDxfId="1359"/>
    <tableColumn id="10" name="Column1" dataDxfId="1358" totalsRowDxfId="1359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314" totalsRowDxfId="2315"/>
    <tableColumn id="5" name="الوزن" totalsRowFunction="custom" totalsRowDxfId="2313">
      <totalsRowFormula>(H6*B6)+(H8*B8)+(H7*B7)</totalsRowFormula>
    </tableColumn>
    <tableColumn id="6" name="مسطح" dataDxfId="180" totalsRowDxfId="2315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358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358" totalsRowDxfId="775"/>
    <tableColumn id="2" name="عدد/الشمسية" dataDxfId="774" totalsRowDxfId="771"/>
    <tableColumn id="3" name="سعر الوحدة" dataDxfId="2358" totalsRowDxfId="1388"/>
    <tableColumn id="4" name="قيمة" totalsRowFunction="sum" dataDxfId="2358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358"/>
    <tableColumn id="2" name="Column2" dataDxfId="2358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23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358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358" totalsRowDxfId="2327"/>
    <tableColumn id="2" name="عدد/الشمسية" dataDxfId="751" totalsRowDxfId="1367"/>
    <tableColumn id="3" name="سعر الوحدة" dataDxfId="2358" totalsRowDxfId="2380"/>
    <tableColumn id="4" name="قيمة" totalsRowFunction="sum" dataDxfId="2358" totalsRowDxfId="238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2312" totalsRowDxfId="2313"/>
    <tableColumn id="2" name="عدد" dataDxfId="2316" totalsRowDxfId="135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2314" totalsRowDxfId="2317"/>
    <tableColumn id="11" name="Column2" dataDxfId="2312" totalsRowDxfId="2315"/>
    <tableColumn id="10" name="Column1" dataDxfId="1358" totalsRowDxfId="2313"/>
    <tableColumn id="12" name="Column12" dataDxfId="2316" totalsRowDxfId="1359"/>
    <tableColumn id="4" name="الوحده" totalsRowLabel="total" dataDxfId="2314" totalsRowDxfId="2318"/>
    <tableColumn id="5" name="الوزن" dataDxfId="2312" totalsRowDxfId="2318"/>
    <tableColumn id="6" name="سعر الكيلو" dataDxfId="1358" totalsRowDxfId="2318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358"/>
    <tableColumn id="2" name="Column2" dataDxfId="235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381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38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335" totalsRowDxfId="2318">
      <calculatedColumnFormula>I28</calculatedColumnFormula>
    </tableColumn>
    <tableColumn id="3" name="بيان" totalsRowLabel="Total" dataDxfId="706" totalsRowDxfId="2318"/>
    <tableColumn id="5" name="اليومية / الاجرة" dataDxfId="2376" totalsRowDxfId="2318"/>
    <tableColumn id="6" name="بدل الوجبة" dataDxfId="2348" totalsRowDxfId="2318"/>
    <tableColumn id="11" name="موقع العمل" dataDxfId="2352" totalsRowDxfId="2318">
      <calculatedColumnFormula>تسعير!$T$45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SUMIF(Table17[Column1],Table161243[[#This Row],[موقع العمل]],Table17[الاقامة])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Table161243[[#This Row],[Column12]]</calculatedColumnFormula>
    </tableColumn>
    <tableColumn id="8" name="اجمالي" totalsRowFunction="sum" dataDxfId="2349" totalsRowDxfId="2374">
      <calculatedColumnFormula>I31*Q31</calculatedColumnFormula>
    </tableColumn>
    <tableColumn id="9" name="%" totalsRowFunction="custom" totalsRowDxfId="237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33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2382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69" totalsRowDxfId="2318">
      <calculatedColumnFormula>I61</calculatedColumnFormula>
    </tableColumn>
    <tableColumn id="3" name="بيان" totalsRowLabel="Total" dataDxfId="139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تسعير!$T$63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SUMIF(Table17[Column1],Table16124360[[#This Row],[موقع العمل]],Table17[الاقامة])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Table16124360[[#This Row],[Column12]]</calculatedColumnFormula>
    </tableColumn>
    <tableColumn id="8" name="اجمالي" totalsRowFunction="sum" dataDxfId="2349" totalsRowDxfId="2374">
      <calculatedColumnFormula>I64*Q64</calculatedColumnFormula>
    </tableColumn>
    <tableColumn id="9" name="%" totalsRowFunction="custom" totalsRowDxfId="237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38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M28*U28</calculatedColumnFormula>
    </tableColumn>
    <tableColumn id="9" name="%" totalsRowFunction="custom" totalsRowDxfId="237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319"/>
    <tableColumn id="2" name="عدد" dataDxfId="2319">
      <calculatedColumnFormula>IF((تسعير!X7&lt;800),0,IF(AND((تسعير!X7&gt;800),(600&gt;=تسعير!AA9)),1,0))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20">
      <calculatedColumnFormula>(Table14[[#This Row],[Column1]]+Table14[[#This Row],[Column2]])*12*Table14[[#This Row],[عدد]]</calculatedColumnFormula>
    </tableColumn>
    <tableColumn id="4" name="الوحده" dataDxfId="2319"/>
    <tableColumn id="5" name="الوزن" totalsRowFunction="custom">
      <totalsRowFormula>H12*B12+H13*B13</totalsRowFormula>
    </tableColumn>
    <tableColumn id="6" name="مسطح" dataDxfId="2312">
      <calculatedColumnFormula>Table14[[#This Row],[Column12]]*Table14[[#This Row],[عدد]]</calculatedColumnFormula>
    </tableColumn>
    <tableColumn id="7" name="سعر الشبك " dataDxfId="2321">
      <calculatedColumnFormula>H12*$I$2/1000</calculatedColumnFormula>
    </tableColumn>
    <tableColumn id="8" name="اجمالي" totalsRowFunction="sum" dataDxfId="232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M14*U14</calculatedColumnFormula>
    </tableColumn>
    <tableColumn id="9" name="%" totalsRowFunction="custom" totalsRowDxfId="237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(Table166273[[#This Row],[Column1]]*Table166273[[#This Row],[Column2]])*Table166273[[#This Row],[عدد]]</calculatedColumnFormula>
    </tableColumn>
    <tableColumn id="4" name="الوحده" dataDxfId="2319"/>
    <tableColumn id="5" name="الوزن" totalsRowFunction="custom">
      <totalsRowFormula>(S23*M23)+(M24*S24)</totalsRowFormula>
    </tableColumn>
    <tableColumn id="6" name="سعر الكيلو" dataDxfId="2344"/>
    <tableColumn id="7" name="سعر الشبك " dataDxfId="2363">
      <calculatedColumnFormula>S22*$S$2/1000</calculatedColumnFormula>
    </tableColumn>
    <tableColumn id="8" name="اجمالي" totalsRowFunction="sum" dataDxfId="234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364"/>
    <tableColumn id="2" name="المعدل" dataDxfId="2364"/>
    <tableColumn id="3" name="الوحدة" dataDxfId="2364"/>
    <tableColumn id="4" name="Column4" dataDxfId="2354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364"/>
    <tableColumn id="2" name="Column2" dataDxfId="2346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IF((تسعير!$AU$14="بالتات"),0,M49-2)</calculatedColumnFormula>
    </tableColumn>
    <tableColumn id="3" name="بيان" totalsRowLabel="Total" dataDxfId="1371" totalsRowDxfId="2318"/>
    <tableColumn id="5" name="اليومية / الاجرة" dataDxfId="2387" totalsRowDxfId="2318"/>
    <tableColumn id="6" name="بدل الوجبة" dataDxfId="2348" totalsRowDxfId="2318"/>
    <tableColumn id="11" name="موقع العمل" dataDxfId="2352" totalsRowDxfId="2318">
      <calculatedColumnFormula>تسعير!$AT$24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SUMIF(Table176978[Column1],Table16126776[[#This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Table16126776[[#This Row],[Column12]]</calculatedColumnFormula>
    </tableColumn>
    <tableColumn id="8" name="اجمالي" totalsRowFunction="sum" dataDxfId="2349" totalsRowDxfId="2374">
      <calculatedColumnFormula>M52*U52</calculatedColumnFormula>
    </tableColumn>
    <tableColumn id="9" name="%" totalsRowFunction="custom" totalsRowDxfId="237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352" totalsRowDxfId="2318"/>
    <tableColumn id="2" name="عدد" dataDxfId="2386" totalsRowDxfId="2318">
      <calculatedColumnFormula>IF((Q63="الاسكندرية"),0.25,0.1)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1370" totalsRowDxfId="2318"/>
    <tableColumn id="5" name="الوزن" dataDxfId="2352" totalsRowDxfId="2318"/>
    <tableColumn id="6" name="سعر الكيلو" dataDxfId="2352" totalsRowDxfId="2318"/>
    <tableColumn id="7" name="سعر الشبك " dataDxfId="2388" totalsRowDxfId="2373">
      <calculatedColumnFormula>Table80102114[[#Totals],[price]]</calculatedColumnFormula>
    </tableColumn>
    <tableColumn id="8" name="اجمالي" totalsRowFunction="sum" dataDxfId="2349" totalsRowDxfId="2374">
      <calculatedColumnFormula>M47*Table16136877[[#This Row],[سعر الشبك ]]</calculatedColumnFormula>
    </tableColumn>
    <tableColumn id="9" name="%" totalsRowFunction="custom" totalsRowDxfId="237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IF((Q63="المقطم"),0.3,IF((Q63="التجمع"),0.3,IF((Q63="الشيخ زايد"),0.3,IF((Q63="الاسكندرية"),0.5,0.35))))</calculatedColumnFormula>
    </tableColumn>
    <tableColumn id="2" name="Column2" dataDxfId="238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(Table15880[[#This Row],[Column1]]+Table15880[[#This Row],[Column2]])*12*Table15880[[#This Row],[عدد]]</calculatedColumnFormula>
    </tableColumn>
    <tableColumn id="4" name="الوحده" dataDxfId="2319" totalsRowDxfId="2318"/>
    <tableColumn id="5" name="الوزن" totalsRowFunction="custom" totalsRowDxfId="2318">
      <totalsRowFormula>(S6*M6)+(S7*M7)+(M8*S8)+(S9*M9)</totalsRowFormula>
    </tableColumn>
    <tableColumn id="6" name="اجمالي المسطح" totalsRowFunction="sum" dataDxfId="2344" totalsRowDxfId="2318">
      <calculatedColumnFormula>Table15880[[#This Row],[المسطح]]*Table15880[[#This Row],[عدد]]</calculatedColumnFormula>
    </tableColumn>
    <tableColumn id="7" name="سعر الشبك " dataDxfId="2389" totalsRowDxfId="2373">
      <calculatedColumnFormula>S6*$S$2/1000</calculatedColumnFormula>
    </tableColumn>
    <tableColumn id="8" name="اجمالي" totalsRowFunction="sum" dataDxfId="2349" totalsRowDxfId="2374">
      <calculatedColumnFormula>M6*U6</calculatedColumnFormula>
    </tableColumn>
    <tableColumn id="9" name="%" totalsRowFunction="custom" totalsRowDxfId="237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319" totalsRowDxfId="2318"/>
    <tableColumn id="2" name="عدد" dataDxfId="2344" totalsRowDxfId="231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M99*U100</calculatedColumnFormula>
    </tableColumn>
    <tableColumn id="9" name="%" totalsRowFunction="custom" totalsRowDxfId="237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319" totalsRowDxfId="2318"/>
    <tableColumn id="2" name="عدد" dataDxfId="1358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1366" totalsRowDxfId="136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23">
      <calculatedColumnFormula>Sheet2!B22</calculatedColumnFormula>
    </tableColumn>
    <tableColumn id="8" name="اجمالي" totalsRowFunction="sum" dataDxfId="1363" totalsRowDxfId="2324">
      <calculatedColumnFormula>B17*J17</calculatedColumnFormula>
    </tableColumn>
    <tableColumn id="9" name="%" totalsRowFunction="custom" totalsRowDxfId="232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319" totalsRowDxfId="2318"/>
    <tableColumn id="2" name="عدد" dataDxfId="2344" totalsRowDxfId="2318">
      <calculatedColumnFormula>IF((I70="بالتات"),0,4)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M85*U85</calculatedColumnFormula>
    </tableColumn>
    <tableColumn id="9" name="%" totalsRowFunction="custom" totalsRowDxfId="237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319"/>
    <tableColumn id="2" name="عدد" totalsRowFunction="sum" dataDxfId="2319">
      <calculatedColumnFormula>M91*4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(Table16627394[[#This Row],[Column1]]*Table16627394[[#This Row],[Column2]])*Table16627394[[#This Row],[عدد]]</calculatedColumnFormula>
    </tableColumn>
    <tableColumn id="4" name="الوحده" dataDxfId="2319"/>
    <tableColumn id="5" name="الوزن" totalsRowFunction="custom">
      <totalsRowFormula>(S94*M94)+(M95*S95)</totalsRowFormula>
    </tableColumn>
    <tableColumn id="6" name="سعر الكيلو" dataDxfId="2344"/>
    <tableColumn id="7" name="سعر الشبك " dataDxfId="2363">
      <calculatedColumnFormula>S93*$S$2/1000</calculatedColumnFormula>
    </tableColumn>
    <tableColumn id="8" name="اجمالي" totalsRowFunction="sum" dataDxfId="234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364"/>
    <tableColumn id="2" name="Column2" dataDxfId="2390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IF((تسعير!$AU$14="بالتات"),0,M120-2)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1372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SUMIF(Table17697899[Column1],Table1612677697[[#This Row],[موقع العمل]],$AE$2:$AE$8)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Table1612677697[[#This Row],[Column12]]</calculatedColumnFormula>
    </tableColumn>
    <tableColumn id="8" name="اجمالي" totalsRowFunction="sum" dataDxfId="2349" totalsRowDxfId="2374">
      <calculatedColumnFormula>M123*U123</calculatedColumnFormula>
    </tableColumn>
    <tableColumn id="9" name="%" totalsRowFunction="custom" totalsRowDxfId="237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352" totalsRowDxfId="2318"/>
    <tableColumn id="2" name="عدد" dataDxfId="2386" totalsRowDxfId="2318">
      <calculatedColumnFormula>IF((Q134="الاسكندرية"),0.25,0.1)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239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2373">
      <calculatedColumnFormula>F96</calculatedColumnFormula>
    </tableColumn>
    <tableColumn id="8" name="اجمالي" totalsRowFunction="sum" dataDxfId="2349" totalsRowDxfId="2374">
      <calculatedColumnFormula>M118*Table1613687798[[#This Row],[سعر الشبك ]]</calculatedColumnFormula>
    </tableColumn>
    <tableColumn id="9" name="%" totalsRowFunction="custom" totalsRowDxfId="237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IF((Q134="المقطم"),0.3,IF((Q134="التجمع"),0.3,IF((Q134="الشيخ زايد"),0.3,IF((Q134="الاسكندرية"),0.5,0.35))))</calculatedColumnFormula>
    </tableColumn>
    <tableColumn id="2" name="Column2" dataDxfId="238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319" totalsRowDxfId="2318"/>
    <tableColumn id="2" name="عدد" dataDxfId="2319" totalsRowDxfId="2318">
      <calculatedColumnFormula>IF(OR((N70="B11"),(N70="B12"),(N70="B21"),(N70="B22"),(N70="B31"),(N70="B32")),3,0)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(Table15880101[[#This Row],[Column1]]+Table15880101[[#This Row],[Column2]])*12*Table15880101[[#This Row],[عدد]]</calculatedColumnFormula>
    </tableColumn>
    <tableColumn id="4" name="الوحده" dataDxfId="2319" totalsRowDxfId="2318"/>
    <tableColumn id="5" name="الوزن" totalsRowFunction="custom" totalsRowDxfId="2318">
      <totalsRowFormula>(S77*M77)+(S78*M78)+(M79*S79)+(S80*M80)</totalsRowFormula>
    </tableColumn>
    <tableColumn id="6" name="اجمالي المسطح" totalsRowFunction="sum" dataDxfId="2344" totalsRowDxfId="2318">
      <calculatedColumnFormula>Table15880101[[#This Row],[المسطح]]*Table15880101[[#This Row],[عدد]]</calculatedColumnFormula>
    </tableColumn>
    <tableColumn id="7" name="سعر الشبك " dataDxfId="1387" totalsRowDxfId="2373">
      <calculatedColumnFormula>S77*$S$2/1000</calculatedColumnFormula>
    </tableColumn>
    <tableColumn id="8" name="اجمالي" totalsRowFunction="sum" dataDxfId="2349" totalsRowDxfId="2374">
      <calculatedColumnFormula>M77*U77</calculatedColumnFormula>
    </tableColumn>
    <tableColumn id="9" name="%" totalsRowFunction="custom" totalsRowDxfId="237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Sheet2!AW6</calculatedColumnFormula>
    </tableColumn>
    <tableColumn id="8" name="اجمالي" totalsRowFunction="sum" dataDxfId="2349" totalsRowDxfId="2374">
      <calculatedColumnFormula>BH28*BP28</calculatedColumnFormula>
    </tableColumn>
    <tableColumn id="9" name="%" totalsRowFunction="custom" totalsRowDxfId="237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319" totalsRowDxfId="2318"/>
    <tableColumn id="2" name="عدد" totalsRowFunction="count" dataDxfId="2319" totalsRowDxfId="2318">
      <calculatedColumnFormula>B29*4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totalsRowFunction="sum" dataDxfId="2326" totalsRowDxfId="2327">
      <calculatedColumnFormula>(Table16[[#This Row],[Column1]]*Table16[[#This Row],[Column2]])*Table16[[#This Row],[عدد]]</calculatedColumnFormula>
    </tableColumn>
    <tableColumn id="4" name="الوحده" dataDxfId="2319" totalsRowDxfId="2318"/>
    <tableColumn id="5" name="الوزن" totalsRowFunction="custom" totalsRowDxfId="2318">
      <totalsRowFormula>H30*B30+H31*B31</totalsRowFormula>
    </tableColumn>
    <tableColumn id="6" name="Column3" dataDxfId="2316" totalsRowDxfId="2318"/>
    <tableColumn id="7" name="سعر الشبك " dataDxfId="1361" totalsRowDxfId="1362">
      <calculatedColumnFormula>H30*$H$2/1000</calculatedColumnFormula>
    </tableColumn>
    <tableColumn id="8" name="اجمالي" totalsRowFunction="sum" dataDxfId="1363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Sheet2!AW26</calculatedColumnFormula>
    </tableColumn>
    <tableColumn id="8" name="اجمالي" totalsRowFunction="sum" dataDxfId="2349" totalsRowDxfId="2374">
      <calculatedColumnFormula>BH14*BP14</calculatedColumnFormula>
    </tableColumn>
    <tableColumn id="9" name="%" totalsRowFunction="custom" totalsRowDxfId="237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319"/>
    <tableColumn id="2" name="عدد" totalsRowFunction="count" dataDxfId="2319">
      <calculatedColumnFormula>BH20*4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(Table16627383[[#This Row],[Column1]]*Table16627383[[#This Row],[Column2]])*Table16627383[[#This Row],[عدد]]</calculatedColumnFormula>
    </tableColumn>
    <tableColumn id="4" name="الوحده" dataDxfId="2319"/>
    <tableColumn id="5" name="الوزن" totalsRowFunction="custom">
      <totalsRowFormula>(BN23*BH23)+(BH24*BN24)</totalsRowFormula>
    </tableColumn>
    <tableColumn id="6" name="سعر الكيلو" dataDxfId="2344"/>
    <tableColumn id="7" name="سعر الشبك " dataDxfId="2363">
      <calculatedColumnFormula>BN22*$S$2/1000</calculatedColumnFormula>
    </tableColumn>
    <tableColumn id="8" name="اجمالي" totalsRowFunction="sum" dataDxfId="234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364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364"/>
    <tableColumn id="2" name="Column2" dataDxfId="2354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IF((تسعير!$AU$14="بالتات"),0,BH48-2)</calculatedColumnFormula>
    </tableColumn>
    <tableColumn id="3" name="بيان" totalsRowLabel="Total" dataDxfId="1371" totalsRowDxfId="2318"/>
    <tableColumn id="5" name="اليومية / الاجرة" dataDxfId="2392" totalsRowDxfId="2318"/>
    <tableColumn id="6" name="بدل الوجبة" dataDxfId="2393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SUMIF(Table17697888[Column1],Table1612677686[[#This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Table1612677686[[#This Row],[Column12]]</calculatedColumnFormula>
    </tableColumn>
    <tableColumn id="8" name="اجمالي" totalsRowFunction="sum" dataDxfId="2349" totalsRowDxfId="2374">
      <calculatedColumnFormula>BH51*BP51</calculatedColumnFormula>
    </tableColumn>
    <tableColumn id="9" name="%" totalsRowFunction="custom" totalsRowDxfId="237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352"/>
    <tableColumn id="2" name="عدد" dataDxfId="2386">
      <calculatedColumnFormula>IF((BL62="الاسكندرية"),0.25,0.1)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94"/>
    <tableColumn id="4" name="الوحده" dataDxfId="2347"/>
    <tableColumn id="5" name="الوزن" dataDxfId="2352"/>
    <tableColumn id="6" name="سعر الكيلو" dataDxfId="2352"/>
    <tableColumn id="7" name="سعر الشبك " dataDxfId="2388">
      <calculatedColumnFormula>BQ45</calculatedColumnFormula>
    </tableColumn>
    <tableColumn id="8" name="اجمالي" totalsRowFunction="sum" dataDxfId="234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IF((BL62="المقطم"),0.3,IF((BL62="التجمع"),0.3,IF((BL62="الشيخ زايد"),0.3,IF((BL62="الاسكندرية"),0.5,0.35))))</calculatedColumnFormula>
    </tableColumn>
    <tableColumn id="2" name="Column2" dataDxfId="238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(Table1588090[[#This Row],[Column1]]+Table1588090[[#This Row],[Column2]])*12*Table1588090[[#This Row],[عدد]]</calculatedColumnFormula>
    </tableColumn>
    <tableColumn id="4" name="الوحده" dataDxfId="2319" totalsRowDxfId="2318"/>
    <tableColumn id="5" name="الوزن" totalsRowFunction="custom" totalsRowDxfId="2318">
      <totalsRowFormula>(BN6*BH6)+(BN7*BG7)+(BN8*BG8)+(BN9*BG9)</totalsRowFormula>
    </tableColumn>
    <tableColumn id="6" name="اجمالي المسطح" totalsRowFunction="sum" dataDxfId="2344" totalsRowDxfId="2318">
      <calculatedColumnFormula>Table1588090[[#This Row],[المسطح]]*Table1588090[[#This Row],[عدد]]</calculatedColumnFormula>
    </tableColumn>
    <tableColumn id="7" name="سعر الشبك " dataDxfId="1387" totalsRowDxfId="2373">
      <calculatedColumnFormula>BN6*$S$2/1000</calculatedColumnFormula>
    </tableColumn>
    <tableColumn id="8" name="اجمالي" totalsRowFunction="sum" dataDxfId="2349" totalsRowDxfId="2374">
      <calculatedColumnFormula>BH6*BP6</calculatedColumnFormula>
    </tableColumn>
    <tableColumn id="9" name="%" totalsRowFunction="custom" totalsRowDxfId="237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395" totalsRowDxfId="1398"/>
    <tableColumn id="5" name="wt/m" dataDxfId="1397" totalsRowDxfId="2396"/>
    <tableColumn id="6" name="price" totalsRowFunction="sum" dataDxfId="1397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107627.5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2015.0737400897231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193447.07904861341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32798.199134199167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3429.3687707641152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23222.068965517145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11611.034482758572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1283.2820512820558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4554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92794.255048613413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16</v>
      </c>
      <c r="AB29" s="60">
        <f t="shared" si="10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1"/>
        <v>96</v>
      </c>
      <c r="AB30" s="60">
        <f t="shared" si="10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70107.1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193447.07904861341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498051.82303951716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 t="e">
        <f>'بيرسا و لوفرز'!R69</f>
        <v>#DIV/0!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5188.0398233283031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 t="e">
        <f>AT22/(AT33*AT34/10000)</f>
        <v>#DIV/0!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310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191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690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310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690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 t="e">
        <f>('بيرسا و لوفرز'!F24+'بيرسا و لوفرز'!V55+'بيرسا و لوفرز'!V63)*1.35</f>
        <v>#DIV/0!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 t="e">
        <f>AS37/(AT34*AT33/10000)</f>
        <v>#DIV/0!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45683.539917557871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45683.539917581016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340</v>
      </c>
      <c r="K6" s="240">
        <f>B6*J6</f>
        <v>1700</v>
      </c>
      <c r="L6" s="241">
        <f>(K6)/$G$84</f>
        <v>0.0044372892493652226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1870</v>
      </c>
      <c r="K7" s="240">
        <f ref="K7:K9" t="shared" si="2">B7*J7</f>
        <v>14960</v>
      </c>
      <c r="L7" s="241">
        <f>(K7)/$G$84</f>
        <v>0.039048145394413959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1130</v>
      </c>
      <c r="K8" s="240">
        <f t="shared" si="2"/>
        <v>3390</v>
      </c>
      <c r="L8" s="241">
        <f>(K8)/$G$84</f>
        <v>0.0088484767972635912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2240</v>
      </c>
      <c r="K9" s="240">
        <f t="shared" si="2"/>
        <v>4480</v>
      </c>
      <c r="L9" s="241">
        <f>(K9)/$G$84</f>
        <v>0.011693562257150705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24530</v>
      </c>
      <c r="L10" s="244">
        <f>Table118[[#Totals],[اجمالي]]/$G$84</f>
        <v>0.064027473698193477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0.0031322041760225103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0.0026101701466854253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0.0014355935806769839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0.001017966357207316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0.0025057633408180082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0.000313220417602251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0.021925429232157571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0.00010440680586741702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0.0035237296980253239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0.03656848375506281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4480</v>
      </c>
      <c r="L31" s="241">
        <f>(K31)/$G$84</f>
        <v>0.011693562257150705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1920</v>
      </c>
      <c r="L32" s="251">
        <f>(K32)/$G$84</f>
        <v>0.0050115266816360164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6400</v>
      </c>
      <c r="L33" s="244">
        <f>Table1624[[#Totals],[اجمالي]]/$G$84</f>
        <v>0.016705088938786722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0.0062644083520450207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200</v>
      </c>
      <c r="L37" s="241">
        <f t="shared" si="11"/>
        <v>0.00052203402933708506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0.0001957627610014069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0.0001957627610014069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0.00065254253667135632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0.0019576276100140688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0.00052203402933708506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0.02479661639351154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0.027406786540196966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190</v>
      </c>
      <c r="J48" s="248"/>
      <c r="K48" s="240">
        <f>B48*Table1319[[#This Row],[سعر الكيلو]]</f>
        <v>950</v>
      </c>
      <c r="L48" s="251">
        <f t="shared" si="11"/>
        <v>0.0024796616393511538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190</v>
      </c>
      <c r="J49" s="248"/>
      <c r="K49" s="240">
        <f>B49*Table1319[[#This Row],[سعر الكيلو]]</f>
        <v>950</v>
      </c>
      <c r="L49" s="251">
        <f t="shared" si="11"/>
        <v>0.0024796616393511538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25850</v>
      </c>
      <c r="L50" s="244">
        <f>Table1319[[#Totals],[اجمالي]]/$G$84</f>
        <v>0.06747289829181824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1837.5</v>
      </c>
      <c r="L54" s="241">
        <f>(Table161027[[#This Row],[اجمالي]])/$G$84</f>
        <v>0.0047961876445344687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0.091355955133989891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36837.5</v>
      </c>
      <c r="L56" s="241">
        <f>Table161027[[#Totals],[اجمالي]]/$G$84</f>
        <v>0.096152142778524352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2015.0737400897231</v>
      </c>
      <c r="I59" s="247"/>
      <c r="J59" s="403">
        <f>IF((Table161128[[#This Row],[عدد]]&gt;0),'Cutting Ro-2'!O8,0)</f>
        <v>193447.07904861341</v>
      </c>
      <c r="K59" s="240">
        <f>Table161128[[#This Row],[عدد]]*Table161128[[#This Row],[سعر البرجولا كاملة]]</f>
        <v>193447.07904861341</v>
      </c>
      <c r="L59" s="241">
        <f>(K59)/$G$84</f>
        <v>0.50492979069618626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193447.07904861341</v>
      </c>
      <c r="K60" s="240">
        <f>Table161128[[#This Row],[عدد]]*Table161128[[#This Row],[سعر البرجولا كاملة]]</f>
        <v>19344.707904861341</v>
      </c>
      <c r="L60" s="241">
        <f>(K60)/$G$84</f>
        <v>0.050492979069618631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212791.78695347474</v>
      </c>
      <c r="L61" s="244">
        <f>Table161128[[#Totals],[اجمالي]]/$G$84</f>
        <v>0.555422769765805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0.060549421977735156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0.060549421977735156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0.0039152552200281375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0.0019576276100140688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0.0058728828300422071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0.0039152552200281375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0.016444071924118179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0.016444071924118179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0.016444071924118179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0.0068908491872495224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0.011745765660084414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0.007830510440056275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0.0060033913373764777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0.005637967516840519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0.1031017207940743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383116.78695347474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498051.82303951716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45683.539917662034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45683.539917708331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21.39</v>
      </c>
      <c r="C1" s="537" t="s">
        <v>428</v>
      </c>
      <c r="D1" s="538">
        <f>تسعير!AT34</f>
        <v>310</v>
      </c>
      <c r="E1" s="537" t="s">
        <v>125</v>
      </c>
      <c r="F1" s="538">
        <f>تسعير!AT33</f>
        <v>690</v>
      </c>
      <c r="G1" s="537" t="s">
        <v>172</v>
      </c>
      <c r="H1" s="538" t="str">
        <f>تسعير!AT26</f>
        <v>خشبي</v>
      </c>
      <c r="I1" s="539" t="str">
        <f>تسعير!AT32</f>
        <v>قواعد عادية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19</v>
      </c>
      <c r="C3" s="544">
        <f>F1-16.5</f>
        <v>673.5</v>
      </c>
      <c r="D3" s="541" t="s">
        <v>566</v>
      </c>
      <c r="E3" s="541">
        <v>2.3</v>
      </c>
      <c r="F3" s="541" t="e">
        <f>IF(($H$1="سادة"),(J3*H3*E3*($U$2+(Sheet2!B41*1000))/1000),(J3*H3*E3*($U$2+(Sheet2!B15))/1000))</f>
        <v>#DIV/0!</v>
      </c>
      <c r="G3" s="531"/>
      <c r="H3" s="542">
        <f>IF(AND((C3&gt;=150),(C3&lt;201)),4,IF(AND((C3&gt;=201),(C3&lt;251)),5,IF(AND((C3&gt;=251),(C3&lt;401)),4,IF(AND((C3&gt;=401),(C3&lt;501)),5,0))))</f>
        <v>0</v>
      </c>
      <c r="I3" s="281">
        <f ref="I3:I8" t="shared" si="0">(H3*100)/C3</f>
        <v>0</v>
      </c>
      <c r="J3" s="545" t="e">
        <f ref="J3:J8" t="shared" si="1">B3/(ROUNDDOWN(I3,0))</f>
        <v>#DIV/0!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B22</v>
      </c>
      <c r="O3" s="207"/>
      <c r="P3" s="207"/>
      <c r="Q3" s="234" t="s">
        <v>18</v>
      </c>
      <c r="R3" s="641">
        <f>NOW()</f>
        <v>45683.5399178125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45683.5399178125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690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14363.999999999998</v>
      </c>
      <c r="G4" s="546"/>
      <c r="H4" s="542">
        <f>IF(AND((C4&gt;=200),(C4&lt;250)),5,IF(AND((C4&gt;=250),(C4&lt;=350)),7,IF(AND((C4&gt;350),(C4&lt;501)),5,IF(AND((C4&gt;=501),(C4&lt;701)),7,0))))</f>
        <v>7</v>
      </c>
      <c r="I4" s="281">
        <f t="shared" si="0"/>
        <v>1.0144927536231885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310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7181.9999999999991</v>
      </c>
      <c r="G5" s="546"/>
      <c r="H5" s="542">
        <f>IF(AND((C5&gt;=200),(C5&lt;=250)),5,IF(AND((C5&gt;250),(C5&lt;=350)),7,IF(AND((C5&gt;350),(C5&lt;501)),5,IF(AND((C5&gt;=501),(C5&lt;701)),7,0))))</f>
        <v>7</v>
      </c>
      <c r="I5" s="281">
        <f t="shared" si="0"/>
        <v>2.2580645161290325</v>
      </c>
      <c r="J5" s="545">
        <f t="shared" si="1"/>
        <v>1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690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6426</v>
      </c>
      <c r="G6" s="546"/>
      <c r="H6" s="542">
        <f>IF(AND((C6&gt;=200),(C6&lt;=250)),5,IF(AND((C6&gt;250),(C6&lt;=350)),7,IF(AND((C6&gt;350),(C6&lt;501)),5,IF(AND((C6&gt;=501),(C6&lt;701)),7,0))))</f>
        <v>7</v>
      </c>
      <c r="I6" s="281">
        <f t="shared" si="0"/>
        <v>1.0144927536231885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2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7.1999999999999993</v>
      </c>
      <c r="R6" s="211"/>
      <c r="S6" s="211">
        <v>57</v>
      </c>
      <c r="T6" s="211">
        <f>Table15880[[#This Row],[المسطح]]*Table15880[[#This Row],[عدد]]</f>
        <v>14.399999999999999</v>
      </c>
      <c r="U6" s="239">
        <f>S6*$S$2/1000</f>
        <v>2280</v>
      </c>
      <c r="V6" s="240">
        <f>M6*U6</f>
        <v>4560</v>
      </c>
      <c r="W6" s="241" t="e">
        <f>(V6)/$R$68</f>
        <v>#DIV/0!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 t="e">
        <f>(BQ6)/$R$68</f>
        <v>#DIV/0!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310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3213</v>
      </c>
      <c r="G7" s="546"/>
      <c r="H7" s="542">
        <f>IF(AND((C7&gt;=200),(C7&lt;=250)),5,IF(AND((C7&gt;250),(C7&lt;=350)),7,IF(AND((C7&gt;350),(C7&lt;501)),5,IF(AND((C7&gt;=501),(C7&lt;701)),7,0))))</f>
        <v>7</v>
      </c>
      <c r="I7" s="281">
        <f t="shared" si="0"/>
        <v>2.2580645161290325</v>
      </c>
      <c r="J7" s="545">
        <f t="shared" si="1"/>
        <v>1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 t="e">
        <f>(V7)/$R$68</f>
        <v>#DIV/0!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 t="e">
        <f>(BQ7)/$R$68</f>
        <v>#DIV/0!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673.5</v>
      </c>
      <c r="D8" s="541" t="s">
        <v>566</v>
      </c>
      <c r="E8" s="541">
        <v>0.65</v>
      </c>
      <c r="F8" s="541" t="e">
        <f>IF(($H$1="سادة"),(J8*H8*E8*($U$2+(Sheet2!B41*1000))/1000),(J8*H8*E8*($U$2+(Sheet2!B15))/1000))</f>
        <v>#DIV/0!</v>
      </c>
      <c r="G8" s="546"/>
      <c r="H8" s="542">
        <f>IF(AND((C8&gt;=150),(C8&lt;201)),4,IF(AND((C8&gt;=201),(C8&lt;251)),5,IF(AND((C8&gt;=251),(C8&lt;401)),4,IF(AND((C8&gt;=401),(C8&lt;501)),5,0))))</f>
        <v>0</v>
      </c>
      <c r="I8" s="281">
        <f t="shared" si="0"/>
        <v>0</v>
      </c>
      <c r="J8" s="545" t="e">
        <f t="shared" si="1"/>
        <v>#DIV/0!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 t="e">
        <f>(V8)/$R$68</f>
        <v>#DIV/0!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 t="e">
        <f>(BQ8)/$R$68</f>
        <v>#DIV/0!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284.8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 t="e">
        <f>(V9)/$R$68</f>
        <v>#DIV/0!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 t="e">
        <f>(BQ9)/$R$68</f>
        <v>#DIV/0!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38</v>
      </c>
      <c r="D10" s="541" t="s">
        <v>28</v>
      </c>
      <c r="E10" s="541">
        <v>20</v>
      </c>
      <c r="F10" s="541">
        <f>E10*C10</f>
        <v>760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3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2.16</v>
      </c>
      <c r="R10" s="242" t="s">
        <v>43</v>
      </c>
      <c r="S10" s="211"/>
      <c r="T10" s="211">
        <f>Table15880[[#This Row],[المسطح]]*Table15880[[#This Row],[عدد]]</f>
        <v>6.48</v>
      </c>
      <c r="U10" s="243">
        <f>S10*$S$2/1000</f>
        <v>0</v>
      </c>
      <c r="V10" s="240">
        <f>M10*U10</f>
        <v>0</v>
      </c>
      <c r="W10" s="241" t="e">
        <f>(V10)/$R$68</f>
        <v>#DIV/0!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21.983999999999998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 t="e">
        <f>(BQ10)/$R$68</f>
        <v>#DIV/0!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38</v>
      </c>
      <c r="D11" s="541" t="s">
        <v>28</v>
      </c>
      <c r="E11" s="541">
        <v>18</v>
      </c>
      <c r="F11" s="541">
        <f>E11*C11</f>
        <v>684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25.680000000000003</v>
      </c>
      <c r="R11" s="211"/>
      <c r="S11" s="211">
        <f>(S6*M6)+(S7*M7)+(M8*S8)+(S9*M9)</f>
        <v>438</v>
      </c>
      <c r="T11" s="211">
        <f>SUBTOTAL(109,Table15880[اجمالي المسطح])</f>
        <v>86.160000000000011</v>
      </c>
      <c r="U11" s="242"/>
      <c r="V11" s="240">
        <f>SUBTOTAL(109,Table15880[اجمالي])</f>
        <v>17520</v>
      </c>
      <c r="W11" s="244" t="e">
        <f>Table15880[[#Totals],[اجمالي]]/$R$68</f>
        <v>#DIV/0!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21.983999999999998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 t="e">
        <f>Table1588090[[#Totals],[اجمالي]]/$R$68</f>
        <v>#DIV/0!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3.664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3.664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 t="e">
        <f>(V14)/$R$68</f>
        <v>#DIV/0!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 t="e">
        <f>(BQ14)/$R$68</f>
        <v>#DIV/0!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38</v>
      </c>
      <c r="D15" s="541" t="s">
        <v>28</v>
      </c>
      <c r="E15" s="541">
        <v>120</v>
      </c>
      <c r="F15" s="541">
        <f>C15*E15</f>
        <v>4560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 t="e">
        <f>(V15)/$R$68</f>
        <v>#DIV/0!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 t="e">
        <f>(BQ15)/$R$68</f>
        <v>#DIV/0!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38</v>
      </c>
      <c r="D16" s="541" t="s">
        <v>28</v>
      </c>
      <c r="E16" s="541">
        <v>120</v>
      </c>
      <c r="F16" s="541">
        <f>C16*E16</f>
        <v>4560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 t="e">
        <f>(V16)/$R$68</f>
        <v>#DIV/0!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 t="e">
        <f>(BQ16)/$R$68</f>
        <v>#DIV/0!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8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400</v>
      </c>
      <c r="W17" s="241" t="e">
        <f>(V17)/$R$68</f>
        <v>#DIV/0!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 t="e">
        <f>(BQ17)/$R$68</f>
        <v>#DIV/0!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128</v>
      </c>
      <c r="D18" s="541" t="s">
        <v>566</v>
      </c>
      <c r="E18" s="541">
        <v>10</v>
      </c>
      <c r="F18" s="541">
        <f>C18*E18</f>
        <v>1280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2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2400</v>
      </c>
      <c r="W18" s="241" t="e">
        <f>(V18)/$R$68</f>
        <v>#DIV/0!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 t="e">
        <f>(BQ18)/$R$68</f>
        <v>#DIV/0!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128</v>
      </c>
      <c r="D19" s="557"/>
      <c r="E19" s="557">
        <v>20</v>
      </c>
      <c r="F19" s="541">
        <f ref="F19:F20" t="shared" si="7">C19*E19</f>
        <v>2560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3950</v>
      </c>
      <c r="W19" s="244" t="e">
        <f>Table156172[[#Totals],[اجمالي]]/$R$68</f>
        <v>#DIV/0!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 t="e">
        <f>Table15617282[[#Totals],[اجمالي]]/$R$68</f>
        <v>#DIV/0!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7</v>
      </c>
      <c r="D20" s="541" t="s">
        <v>28</v>
      </c>
      <c r="E20" s="541">
        <v>250</v>
      </c>
      <c r="F20" s="541">
        <f t="shared" si="7"/>
        <v>1750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7</v>
      </c>
      <c r="D21" s="541" t="s">
        <v>28</v>
      </c>
      <c r="E21" s="541">
        <v>40</v>
      </c>
      <c r="F21" s="541">
        <f>E21*C21</f>
        <v>280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0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0</v>
      </c>
      <c r="W22" s="249" t="e">
        <f>(V22)/$R$68</f>
        <v>#DIV/0!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 t="e">
        <f>(BQ22)/$R$68</f>
        <v>#DIV/0!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 t="e">
        <f>(V23)/$R$68</f>
        <v>#DIV/0!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 t="e">
        <f>(BQ23)/$R$68</f>
        <v>#DIV/0!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 t="e">
        <f>(Table80102114[[#Totals],[price]]*1.1)/(F1*D1/10000)</f>
        <v>#DIV/0!</v>
      </c>
      <c r="C24" s="194"/>
      <c r="D24" s="194"/>
      <c r="E24" s="194"/>
      <c r="F24" s="194" t="e">
        <f>SUBTOTAL(109,Table80102114[price])</f>
        <v>#DIV/0!</v>
      </c>
      <c r="L24" s="211">
        <v>8</v>
      </c>
      <c r="M24" s="212">
        <f>M22*4</f>
        <v>0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0</v>
      </c>
      <c r="W24" s="251" t="e">
        <f>(V24)/$R$68</f>
        <v>#DIV/0!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 t="e">
        <f>(BQ24)/$R$68</f>
        <v>#DIV/0!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9.96</v>
      </c>
      <c r="R25" s="211"/>
      <c r="S25" s="211">
        <f>(S23*M23)+(M24*S24)</f>
        <v>14</v>
      </c>
      <c r="T25" s="211"/>
      <c r="U25" s="242"/>
      <c r="V25" s="240">
        <f>SUBTOTAL(109,Table166273[اجمالي])</f>
        <v>560</v>
      </c>
      <c r="W25" s="244" t="e">
        <f>Table166273[[#Totals],[اجمالي]]/$R$68</f>
        <v>#DIV/0!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 t="e">
        <f>Table16627383[[#Totals],[اجمالي]]/$R$68</f>
        <v>#DIV/0!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 t="e">
        <f ref="W28:W42" t="shared" si="9" ca="1">(V28)/$R$68</f>
        <v>#DIV/0!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 t="e">
        <f ref="BR28:BR41" t="shared" si="11" ca="1">(BQ28)/$R$68</f>
        <v>#DIV/0!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 t="e">
        <f t="shared" si="9" ca="1"/>
        <v>#DIV/0!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 t="e">
        <f t="shared" si="11" ca="1"/>
        <v>#DIV/0!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 t="e">
        <f t="shared" si="9" ca="1"/>
        <v>#DIV/0!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 t="e">
        <f t="shared" si="11" ca="1"/>
        <v>#DIV/0!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 t="e">
        <f t="shared" si="9" ca="1"/>
        <v>#DIV/0!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 t="e">
        <f t="shared" si="11" ca="1"/>
        <v>#DIV/0!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 t="e">
        <f t="shared" si="9" ca="1"/>
        <v>#DIV/0!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 t="e">
        <f t="shared" si="11" ca="1"/>
        <v>#DIV/0!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 t="e">
        <f t="shared" si="9" ca="1"/>
        <v>#DIV/0!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 t="e">
        <f t="shared" si="11" ca="1"/>
        <v>#DIV/0!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 t="e">
        <f t="shared" si="9" ca="1"/>
        <v>#DIV/0!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 t="e">
        <f t="shared" si="11" ca="1"/>
        <v>#DIV/0!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 t="e">
        <f t="shared" si="9" ca="1"/>
        <v>#DIV/0!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 t="e">
        <f t="shared" si="11" ca="1"/>
        <v>#DIV/0!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 t="e">
        <f t="shared" si="9" ca="1"/>
        <v>#DIV/0!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 t="e">
        <f t="shared" si="11" ca="1"/>
        <v>#DIV/0!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 t="e">
        <f t="shared" si="9" ca="1"/>
        <v>#DIV/0!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 t="e">
        <f t="shared" si="11" ca="1"/>
        <v>#DIV/0!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452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13560</v>
      </c>
      <c r="W38" s="251" t="e">
        <f t="shared" si="9" ca="1"/>
        <v>#DIV/0!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 t="e">
        <f t="shared" si="11" ca="1"/>
        <v>#DIV/0!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25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11875</v>
      </c>
      <c r="W39" s="251" t="e">
        <f t="shared" si="9" ca="1"/>
        <v>#DIV/0!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 t="e">
        <f t="shared" si="11" ca="1"/>
        <v>#DIV/0!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25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13125</v>
      </c>
      <c r="W40" s="251" t="e">
        <f t="shared" si="9" ca="1"/>
        <v>#DIV/0!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 t="e">
        <f t="shared" si="11" ca="1"/>
        <v>#DIV/0!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 t="e">
        <f t="shared" si="9" ca="1"/>
        <v>#DIV/0!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 t="e">
        <f t="shared" si="11" ca="1"/>
        <v>#DIV/0!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 t="e">
        <f t="shared" si="9" ca="1"/>
        <v>#DIV/0!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 t="e">
        <f>Table13597166[[#Totals],[اجمالي]]/$R$68</f>
        <v>#DIV/0!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41280</v>
      </c>
      <c r="W43" s="244" t="e">
        <f>Table135971[[#Totals],[اجمالي]]/$R$68</f>
        <v>#DIV/0!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 t="e">
        <f>(BQ46)/$R$68</f>
        <v>#DIV/0!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 t="e">
        <f>Table80102114[[#Totals],[price]]</f>
        <v>#DIV/0!</v>
      </c>
      <c r="V47" s="252" t="e">
        <f>M47*Table16136877[[#This Row],[سعر الشبك ]]</f>
        <v>#DIV/0!</v>
      </c>
      <c r="W47" s="241" t="e">
        <f>(V47)/$R$68</f>
        <v>#DIV/0!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 t="e">
        <f>(BQ47)/$R$68</f>
        <v>#DIV/0!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 t="e">
        <f>Table80102114[[#Totals],[price]]</f>
        <v>#DIV/0!</v>
      </c>
      <c r="V48" s="240" t="e">
        <f>M48*Table16136877[[#This Row],[سعر الشبك ]]</f>
        <v>#DIV/0!</v>
      </c>
      <c r="W48" s="241" t="e">
        <f>(V48)/$R$68</f>
        <v>#DIV/0!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 t="e">
        <f>Table1613687787[[#Totals],[اجمالي]]/$R$68</f>
        <v>#DIV/0!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 t="e">
        <f>SUBTOTAL(109,Table16136877[اجمالي])</f>
        <v>#DIV/0!</v>
      </c>
      <c r="W49" s="244" t="e">
        <f>Table16136877[[#Totals],[اجمالي]]/$R$68</f>
        <v>#DIV/0!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 t="e">
        <f ref="BR51:BR63" t="shared" si="16" ca="1">(BQ51)/$R$68</f>
        <v>#DIV/0!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 t="e">
        <f ref="W52:W64" t="shared" si="18" ca="1">(V52)/$R$68</f>
        <v>#DIV/0!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 t="e">
        <f t="shared" si="16" ca="1"/>
        <v>#DIV/0!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 t="e">
        <f t="shared" si="18" ca="1"/>
        <v>#DIV/0!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 t="e">
        <f t="shared" si="16" ca="1"/>
        <v>#DIV/0!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 t="e">
        <f t="shared" si="18" ca="1"/>
        <v>#DIV/0!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 t="e">
        <f t="shared" si="16" ca="1"/>
        <v>#DIV/0!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 t="e">
        <f t="shared" si="18" ca="1"/>
        <v>#DIV/0!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 t="e">
        <f t="shared" si="16" ca="1"/>
        <v>#DIV/0!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 t="e">
        <f t="shared" si="18" ca="1"/>
        <v>#DIV/0!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 t="e">
        <f t="shared" si="16" ca="1"/>
        <v>#DIV/0!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 t="e">
        <f t="shared" si="18" ca="1"/>
        <v>#DIV/0!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 t="e">
        <f t="shared" si="16" ca="1"/>
        <v>#DIV/0!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 t="e">
        <f t="shared" si="18" ca="1"/>
        <v>#DIV/0!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 t="e">
        <f t="shared" si="16" ca="1"/>
        <v>#DIV/0!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 t="e">
        <f t="shared" si="18" ca="1"/>
        <v>#DIV/0!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 t="e">
        <f t="shared" si="16" ca="1"/>
        <v>#DIV/0!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 t="e">
        <f t="shared" si="18" ca="1"/>
        <v>#DIV/0!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 t="e">
        <f t="shared" si="16" ca="1"/>
        <v>#DIV/0!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 t="e">
        <f t="shared" si="18" ca="1"/>
        <v>#DIV/0!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 t="e">
        <f t="shared" si="16" ca="1"/>
        <v>#DIV/0!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 t="e">
        <f t="shared" si="18" ca="1"/>
        <v>#DIV/0!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 t="e">
        <f t="shared" si="16" ca="1"/>
        <v>#DIV/0!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 t="e">
        <f t="shared" si="18" ca="1"/>
        <v>#DIV/0!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 t="e">
        <f t="shared" si="16" ca="1"/>
        <v>#DIV/0!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 t="e">
        <f t="shared" si="18" ca="1"/>
        <v>#DIV/0!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 t="e">
        <f>Table1612677686[[#Totals],[اجمالي]]/$R$68</f>
        <v>#DIV/0!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 t="e">
        <f>Table16126776[[#Totals],[اجمالي]]/$R$68</f>
        <v>#DIV/0!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 t="e">
        <f>Table16126776[[#Totals],[اجمالي]]+Table16136877[[#Totals],[اجمالي]]+Table135971[[#Totals],[اجمالي]]+Table166273[[#Totals],[اجمالي]]+Table156172[[#Totals],[اجمالي]]+Table15880[[#Totals],[اجمالي]]</f>
        <v>#DIV/0!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 t="e">
        <f>R68*(1+Table187079[[#This Row],[Column3]])</f>
        <v>#DIV/0!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45683.539917905095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45683.539917905095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 t="e">
        <f>(BQ76)/$R$68</f>
        <v>#DIV/0!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 t="e">
        <f>(V77)/$R$68</f>
        <v>#DIV/0!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 t="e">
        <f>(BQ77)/$R$68</f>
        <v>#DIV/0!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 t="e">
        <f>(V78)/$R$68</f>
        <v>#DIV/0!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 t="e">
        <f>(BQ78)/$R$68</f>
        <v>#DIV/0!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 t="e">
        <f>(V79)/$R$68</f>
        <v>#DIV/0!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 t="e">
        <f>(BQ79)/$R$68</f>
        <v>#DIV/0!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 t="e">
        <f>(V80)/$R$68</f>
        <v>#DIV/0!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 t="e">
        <f>(BQ80)/$R$68</f>
        <v>#DIV/0!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 t="e">
        <f>(V81)/$R$68</f>
        <v>#DIV/0!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 t="e">
        <f>Table15880101112[[#Totals],[اجمالي]]/$R$68</f>
        <v>#DIV/0!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 t="e">
        <f>Table15880101[[#Totals],[اجمالي]]/$R$68</f>
        <v>#DIV/0!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 t="e">
        <f>(BQ84)/$R$68</f>
        <v>#DIV/0!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 t="e">
        <f>(V85)/$R$68</f>
        <v>#DIV/0!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 t="e">
        <f>(BQ85)/$R$68</f>
        <v>#DIV/0!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 t="e">
        <f>(V86)/$R$68</f>
        <v>#DIV/0!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 t="e">
        <f>(BQ86)/$R$68</f>
        <v>#DIV/0!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 t="e">
        <f>(V87)/$R$68</f>
        <v>#DIV/0!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 t="e">
        <f>(BQ87)/$R$68</f>
        <v>#DIV/0!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 t="e">
        <f>(V88)/$R$68</f>
        <v>#DIV/0!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 t="e">
        <f>(BQ88)/$R$68</f>
        <v>#DIV/0!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 t="e">
        <f>(V89)/$R$68</f>
        <v>#DIV/0!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 t="e">
        <f>Table15617293104[[#Totals],[اجمالي]]/$R$68</f>
        <v>#DIV/0!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 t="e">
        <f>Table15617293[[#Totals],[اجمالي]]/$R$68</f>
        <v>#DIV/0!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 t="e">
        <f>(BQ92)/$R$68</f>
        <v>#DIV/0!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 t="e">
        <f>(V93)/$R$68</f>
        <v>#DIV/0!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 t="e">
        <f>(BQ93)/$R$68</f>
        <v>#DIV/0!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 t="e">
        <f>(V94)/$R$68</f>
        <v>#DIV/0!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 t="e">
        <f>(BQ94)/$R$68</f>
        <v>#DIV/0!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 t="e">
        <f>(V95)/$R$68</f>
        <v>#DIV/0!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 t="e">
        <f>Table16627394105[[#Totals],[اجمالي]]/$R$68</f>
        <v>#DIV/0!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 t="e">
        <f>Table16627394[[#Totals],[اجمالي]]/$R$68</f>
        <v>#DIV/0!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 t="e">
        <f ref="BR98:BR112" t="shared" si="27" ca="1">(BQ98)/$R$68</f>
        <v>#DIV/0!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 t="e">
        <f ref="W99:W113" t="shared" si="29" ca="1">(V99)/$R$68</f>
        <v>#DIV/0!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 t="e">
        <f t="shared" si="27" ca="1"/>
        <v>#DIV/0!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 t="e">
        <f t="shared" si="29" ca="1"/>
        <v>#DIV/0!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 t="e">
        <f t="shared" si="27" ca="1"/>
        <v>#DIV/0!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 t="e">
        <f t="shared" si="29" ca="1"/>
        <v>#DIV/0!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 t="e">
        <f t="shared" si="27" ca="1"/>
        <v>#DIV/0!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 t="e">
        <f t="shared" si="29" ca="1"/>
        <v>#DIV/0!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 t="e">
        <f t="shared" si="27" ca="1"/>
        <v>#DIV/0!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 t="e">
        <f t="shared" si="29" ca="1"/>
        <v>#DIV/0!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 t="e">
        <f t="shared" si="27" ca="1"/>
        <v>#DIV/0!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 t="e">
        <f t="shared" si="29" ca="1"/>
        <v>#DIV/0!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 t="e">
        <f t="shared" si="27" ca="1"/>
        <v>#DIV/0!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 t="e">
        <f t="shared" si="29" ca="1"/>
        <v>#DIV/0!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 t="e">
        <f t="shared" si="27" ca="1"/>
        <v>#DIV/0!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 t="e">
        <f t="shared" si="29" ca="1"/>
        <v>#DIV/0!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 t="e">
        <f t="shared" si="27" ca="1"/>
        <v>#DIV/0!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 t="e">
        <f t="shared" si="29" ca="1"/>
        <v>#DIV/0!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 t="e">
        <f t="shared" si="27" ca="1"/>
        <v>#DIV/0!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 t="e">
        <f t="shared" si="29" ca="1"/>
        <v>#DIV/0!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 t="e">
        <f t="shared" si="27" ca="1"/>
        <v>#DIV/0!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 t="e">
        <f t="shared" si="29" ca="1"/>
        <v>#DIV/0!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 t="e">
        <f t="shared" si="27" ca="1"/>
        <v>#DIV/0!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 t="e">
        <f t="shared" si="29" ca="1"/>
        <v>#DIV/0!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 t="e">
        <f t="shared" si="27" ca="1"/>
        <v>#DIV/0!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 t="e">
        <f t="shared" si="29" ca="1"/>
        <v>#DIV/0!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 t="e">
        <f t="shared" si="27" ca="1"/>
        <v>#DIV/0!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 t="e">
        <f t="shared" si="29" ca="1"/>
        <v>#DIV/0!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 t="e">
        <f t="shared" si="27" ca="1"/>
        <v>#DIV/0!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 t="e">
        <f t="shared" si="29" ca="1"/>
        <v>#DIV/0!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 t="e">
        <f>Table13597192103[[#Totals],[اجمالي]]/$R$68</f>
        <v>#DIV/0!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 t="e">
        <f>Table13597192[[#Totals],[اجمالي]]/$R$68</f>
        <v>#DIV/0!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 t="e">
        <f>(BQ117)/$R$68</f>
        <v>#DIV/0!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 t="e">
        <f>(BQ118)/$R$68</f>
        <v>#DIV/0!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 t="e">
        <f>Table1613687798109[[#Totals],[اجمالي]]/$R$68</f>
        <v>#DIV/0!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 t="e">
        <f ref="BR122:BR134" t="shared" si="34" ca="1">(BQ122)/$R$68</f>
        <v>#DIV/0!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 t="e">
        <f ref="W123:W135" t="shared" si="36" ca="1">(V123)/$R$68</f>
        <v>#DIV/0!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 t="e">
        <f t="shared" si="34" ca="1"/>
        <v>#DIV/0!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 t="e">
        <f t="shared" si="36" ca="1"/>
        <v>#DIV/0!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 t="e">
        <f t="shared" si="34" ca="1"/>
        <v>#DIV/0!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 t="e">
        <f t="shared" si="36" ca="1"/>
        <v>#DIV/0!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 t="e">
        <f t="shared" si="34" ca="1"/>
        <v>#DIV/0!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 t="e">
        <f t="shared" si="36" ca="1"/>
        <v>#DIV/0!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 t="e">
        <f t="shared" si="34" ca="1"/>
        <v>#DIV/0!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 t="e">
        <f t="shared" si="36" ca="1"/>
        <v>#DIV/0!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 t="e">
        <f t="shared" si="34" ca="1"/>
        <v>#DIV/0!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 t="e">
        <f t="shared" si="36" ca="1"/>
        <v>#DIV/0!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 t="e">
        <f t="shared" si="34" ca="1"/>
        <v>#DIV/0!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 t="e">
        <f t="shared" si="36" ca="1"/>
        <v>#DIV/0!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 t="e">
        <f t="shared" si="34" ca="1"/>
        <v>#DIV/0!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 t="e">
        <f t="shared" si="36" ca="1"/>
        <v>#DIV/0!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 t="e">
        <f t="shared" si="34" ca="1"/>
        <v>#DIV/0!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 t="e">
        <f t="shared" si="36" ca="1"/>
        <v>#DIV/0!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 t="e">
        <f t="shared" si="34" ca="1"/>
        <v>#DIV/0!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 t="e">
        <f t="shared" si="36" ca="1"/>
        <v>#DIV/0!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 t="e">
        <f t="shared" si="34" ca="1"/>
        <v>#DIV/0!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 t="e">
        <f t="shared" si="36" ca="1"/>
        <v>#DIV/0!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 t="e">
        <f t="shared" si="34" ca="1"/>
        <v>#DIV/0!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 t="e">
        <f t="shared" si="36" ca="1"/>
        <v>#DIV/0!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 t="e">
        <f t="shared" si="34" ca="1"/>
        <v>#DIV/0!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 t="e">
        <f t="shared" si="36" ca="1"/>
        <v>#DIV/0!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 t="e">
        <f>Table1612677697108[[#Totals],[اجمالي]]/$R$68</f>
        <v>#DIV/0!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 t="e">
        <f>Table1612677697[[#Totals],[اجمالي]]/$R$68</f>
        <v>#DIV/0!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