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<sst xmlns="http://schemas.openxmlformats.org/spreadsheetml/2006/main" count="597" uniqueCount="597">
  <si>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</si>
  <si>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</si>
  <si>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</si>
  <si>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</si>
  <si>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</si>
  <si>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</si>
  <si>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</si>
  <si>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</si>
  <si>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</si>
  <si>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</si>
  <si>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</si>
  <si>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</si>
  <si>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</si>
  <si>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</si>
  <si>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</si>
  <si>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</si>
  <si>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</si>
  <si>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</si>
  <si>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</si>
  <si>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</si>
  <si>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</si>
  <si>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</si>
  <si>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</si>
  <si>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</si>
  <si>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</si>
  <si>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</si>
  <si>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</si>
  <si>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</si>
  <si>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</si>
  <si>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</si>
  <si>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</si>
  <si>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</si>
  <si>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</si>
  <si>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</si>
  <si>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</si>
  <si>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</si>
  <si>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</si>
  <si>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</si>
  <si>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</si>
  <si>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</si>
  <si>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</si>
  <si>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</si>
  <si>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</si>
  <si>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</si>
  <si>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</si>
  <si>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</si>
  <si>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</si>
  <si>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</si>
  <si>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</si>
  <si>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</si>
  <si>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</si>
  <si>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</si>
  <si>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</si>
  <si>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</si>
  <si>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</si>
  <si>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</si>
  <si>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</si>
  <si>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</si>
  <si>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</si>
  <si>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</si>
  <si>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</si>
  <si>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</si>
  <si>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</si>
  <si>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</si>
  <si>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</si>
  <si>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</si>
  <si>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</si>
  <si>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</si>
  <si>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</si>
  <si>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</si>
  <si>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</si>
  <si>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</si>
  <si>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</si>
  <si>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</si>
  <si>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</si>
  <si>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</si>
  <si>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</si>
  <si>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</si>
  <si>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</si>
  <si>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</si>
  <si>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</si>
  <si>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</si>
  <si>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</si>
  <si>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</si>
  <si>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</si>
  <si>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</si>
  <si>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</si>
  <si>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</si>
  <si>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</si>
  <si>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</si>
  <si>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</si>
  <si>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</si>
  <si>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</si>
  <si>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</si>
  <si>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</si>
  <si>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</si>
  <si>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</si>
  <si>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</si>
  <si>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</si>
  <si>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</si>
  <si>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</si>
  <si>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</si>
  <si>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</si>
  <si>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</si>
  <si>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</si>
  <si>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</si>
  <si>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</si>
  <si>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</si>
  <si>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</si>
  <si>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</si>
  <si>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</si>
  <si>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</si>
  <si>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</si>
  <si>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</si>
  <si>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</si>
  <si>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</si>
  <si>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</si>
  <si>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</si>
  <si>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</si>
  <si>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</si>
  <si>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</si>
  <si>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</si>
  <si>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</si>
  <si>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</si>
  <si>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</si>
  <si>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</si>
  <si>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</si>
  <si>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</si>
  <si>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</si>
  <si>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</si>
  <si>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</si>
  <si>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</si>
  <si>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</si>
  <si>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</si>
  <si>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</si>
  <si>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</si>
  <si>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</si>
  <si>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</si>
  <si>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</si>
  <si>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</si>
  <si>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</si>
  <si>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</si>
  <si>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</si>
  <si>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</si>
  <si>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</si>
  <si>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</si>
  <si>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</si>
  <si>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</si>
  <si>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</si>
  <si>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</si>
  <si>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</si>
  <si>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</si>
  <si>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</si>
  <si>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</si>
  <si>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</si>
  <si>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</si>
  <si>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</si>
  <si>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</si>
  <si>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</si>
  <si>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</si>
  <si>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</si>
  <si>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</si>
  <si>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</si>
  <si>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</si>
  <si>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</si>
  <si>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</si>
  <si>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</si>
  <si>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C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</si>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</sst>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168</v>
      </c>
      <c r="D1" s="369" t="s">
        <v>154</v>
      </c>
      <c r="E1" s="500"/>
      <c r="F1" s="501"/>
      <c r="G1" s="569" t="s">
        <v>219</v>
      </c>
      <c r="H1" s="569"/>
      <c r="I1" s="569"/>
      <c r="J1" s="514"/>
    </row>
    <row r="2" ht="21">
      <c r="A2" s="502" t="s">
        <v>185</v>
      </c>
      <c r="B2" s="559" t="s">
        <v>196</v>
      </c>
      <c r="C2" s="503" t="s">
        <v>169</v>
      </c>
      <c r="D2" s="504" t="s">
        <v>205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198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220</v>
      </c>
      <c r="H4" s="570"/>
      <c r="I4" s="570"/>
      <c r="J4" s="515"/>
    </row>
    <row r="5" ht="21">
      <c r="A5" s="502" t="s">
        <v>185</v>
      </c>
      <c r="B5" s="559" t="s">
        <v>196</v>
      </c>
      <c r="C5" s="503" t="s">
        <v>169</v>
      </c>
      <c r="D5" s="504" t="s">
        <v>205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166</v>
      </c>
      <c r="C6" s="507" t="s">
        <v>198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221</v>
      </c>
      <c r="B10" s="571"/>
    </row>
    <row r="11">
      <c r="A11" s="233" t="s">
        <v>222</v>
      </c>
      <c r="B11" s="233" t="s">
        <v>223</v>
      </c>
    </row>
    <row r="12">
      <c r="A12" s="233" t="s">
        <v>224</v>
      </c>
      <c r="B12" s="568">
        <v>45000</v>
      </c>
    </row>
    <row r="13">
      <c r="A13" s="233" t="s">
        <v>225</v>
      </c>
      <c r="B13" s="568">
        <v>45000</v>
      </c>
    </row>
    <row r="14">
      <c r="A14" s="558" t="s">
        <v>226</v>
      </c>
      <c r="B14" s="568">
        <v>225000</v>
      </c>
    </row>
    <row r="15">
      <c r="A15" s="233" t="s">
        <v>227</v>
      </c>
      <c r="B15" s="568">
        <v>60000</v>
      </c>
    </row>
    <row r="16">
      <c r="A16" s="233" t="s">
        <v>228</v>
      </c>
      <c r="B16" s="568">
        <v>275</v>
      </c>
    </row>
    <row r="17">
      <c r="A17" s="233" t="s">
        <v>229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230</v>
      </c>
      <c r="B33" s="568">
        <v>11000</v>
      </c>
    </row>
    <row r="34">
      <c r="A34" s="233" t="s">
        <v>231</v>
      </c>
      <c r="B34" s="568">
        <v>2000</v>
      </c>
    </row>
    <row r="35">
      <c r="A35" s="233" t="s">
        <v>232</v>
      </c>
      <c r="B35" s="568">
        <v>1500</v>
      </c>
    </row>
    <row r="36">
      <c r="A36" s="233" t="s">
        <v>233</v>
      </c>
      <c r="B36" s="568">
        <v>1500</v>
      </c>
    </row>
    <row r="37">
      <c r="A37" s="233" t="s">
        <v>234</v>
      </c>
      <c r="B37" s="568">
        <v>5000</v>
      </c>
    </row>
    <row r="38">
      <c r="A38" s="233" t="s">
        <v>235</v>
      </c>
      <c r="B38" s="568">
        <v>800</v>
      </c>
    </row>
    <row r="39">
      <c r="A39" s="233" t="s">
        <v>236</v>
      </c>
      <c r="B39" s="568">
        <v>130</v>
      </c>
    </row>
    <row r="40">
      <c r="A40" s="233" t="s">
        <v>237</v>
      </c>
      <c r="B40" s="568">
        <v>90</v>
      </c>
    </row>
    <row r="41">
      <c r="A41" s="233" t="s">
        <v>238</v>
      </c>
      <c r="B41" s="568">
        <v>25</v>
      </c>
    </row>
    <row r="42" ht="18.75">
      <c r="A42" s="331" t="s">
        <v>239</v>
      </c>
      <c r="B42" s="568">
        <v>450</v>
      </c>
    </row>
    <row r="43" ht="18.75">
      <c r="A43" s="331" t="s">
        <v>240</v>
      </c>
      <c r="B43" s="568">
        <v>130</v>
      </c>
    </row>
    <row r="44" ht="18.75">
      <c r="A44" s="331" t="s">
        <v>241</v>
      </c>
      <c r="B44" s="568">
        <v>175</v>
      </c>
    </row>
    <row r="45">
      <c r="A45" s="558" t="s">
        <v>242</v>
      </c>
      <c r="B45" s="568">
        <v>4000</v>
      </c>
    </row>
    <row r="46">
      <c r="A46" s="558" t="s">
        <v>243</v>
      </c>
      <c r="B46" s="568">
        <v>3000</v>
      </c>
    </row>
    <row r="47">
      <c r="A47" s="233" t="s">
        <v>244</v>
      </c>
      <c r="B47" s="568">
        <v>130</v>
      </c>
    </row>
    <row r="48">
      <c r="A48" s="233" t="s">
        <v>245</v>
      </c>
      <c r="B48" s="568">
        <v>25</v>
      </c>
    </row>
    <row r="49">
      <c r="A49" s="233" t="s">
        <v>246</v>
      </c>
      <c r="B49" s="568">
        <v>1200</v>
      </c>
    </row>
    <row r="50">
      <c r="A50" s="233" t="s">
        <v>247</v>
      </c>
      <c r="B50" s="568">
        <v>150</v>
      </c>
    </row>
    <row r="51">
      <c r="A51" s="233" t="s">
        <v>248</v>
      </c>
      <c r="B51" s="568">
        <v>150</v>
      </c>
    </row>
    <row r="52">
      <c r="A52" s="233" t="s">
        <v>249</v>
      </c>
      <c r="B52" s="568">
        <v>250</v>
      </c>
    </row>
    <row r="53">
      <c r="A53" s="233" t="s">
        <v>250</v>
      </c>
      <c r="B53" s="568">
        <v>80</v>
      </c>
    </row>
    <row r="54">
      <c r="A54" s="558" t="s">
        <v>251</v>
      </c>
      <c r="B54" s="568">
        <v>1200</v>
      </c>
    </row>
    <row r="55">
      <c r="A55" s="537" t="s">
        <v>252</v>
      </c>
      <c r="B55" s="568">
        <v>23000</v>
      </c>
    </row>
    <row r="56">
      <c r="A56" s="537" t="s">
        <v>253</v>
      </c>
      <c r="B56" s="568">
        <v>5000</v>
      </c>
    </row>
    <row r="57">
      <c r="A57" s="567" t="s">
        <v>254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365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367</v>
      </c>
      <c r="O7" s="99">
        <f>AA41/K7</f>
        <v>3014.2535679959346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 (2)'!B9</f>
        <v>5</v>
      </c>
    </row>
    <row r="19" ht="18" customHeight="1">
      <c r="A19" s="640" t="s">
        <v>434</v>
      </c>
      <c r="B19" s="641"/>
      <c r="C19" s="14">
        <f>'Format Φωτισμου (2)'!B12</f>
        <v>35</v>
      </c>
    </row>
    <row r="20" ht="18" customHeight="1">
      <c r="A20" s="640" t="s">
        <v>435</v>
      </c>
      <c r="B20" s="641"/>
      <c r="C20" s="14">
        <f>C19/C18</f>
        <v>7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56" t="s">
        <v>345</v>
      </c>
      <c r="J31" s="757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58" t="s">
        <v>345</v>
      </c>
      <c r="R31" s="759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39" t="s">
        <v>289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39" t="s">
        <v>289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تسجيل1!C7</f>
        <v>300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700</v>
      </c>
      <c r="D31" s="34" t="s">
        <v>346</v>
      </c>
      <c r="E31" s="36">
        <f>H34</f>
        <v>10</v>
      </c>
      <c r="F31" s="34"/>
      <c r="G31" s="34"/>
      <c r="H31" s="35"/>
      <c r="I31" s="756" t="s">
        <v>345</v>
      </c>
      <c r="J31" s="757"/>
      <c r="K31" s="36">
        <f>B19</f>
        <v>700</v>
      </c>
      <c r="L31" s="34" t="s">
        <v>346</v>
      </c>
      <c r="M31" s="36">
        <f>P34</f>
        <v>9</v>
      </c>
      <c r="N31" s="15"/>
      <c r="O31" s="34"/>
      <c r="P31" s="35"/>
      <c r="Q31" s="758" t="s">
        <v>345</v>
      </c>
      <c r="R31" s="759"/>
      <c r="S31" s="57">
        <f>B19</f>
        <v>700</v>
      </c>
      <c r="T31" s="47" t="s">
        <v>347</v>
      </c>
      <c r="U31" s="57">
        <f>INT((S31-4)/25)+1</f>
        <v>28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300</v>
      </c>
      <c r="J4" s="15">
        <v>4</v>
      </c>
      <c r="K4" s="15">
        <v>2</v>
      </c>
    </row>
    <row r="5">
      <c r="A5" s="1" t="s">
        <v>256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282</v>
      </c>
      <c r="B6" s="1">
        <f>'Cutting Ro-1'!L14</f>
        <v>10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287</v>
      </c>
      <c r="B9" s="1">
        <f>O8</f>
        <v>4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8</v>
      </c>
      <c r="C10" s="639" t="s">
        <v>289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290</v>
      </c>
      <c r="B11" s="13">
        <f>E10/B9</f>
        <v>2</v>
      </c>
      <c r="C11" s="639" t="s">
        <v>289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291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 t="str">
        <f>IF((BG14="OK"),wavy2!R72,"R")</f>
        <v>R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 t="e">
        <f>BE2/(BG10*BL12)*10000</f>
        <v>#VALUE!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9" t="s">
        <v>176</v>
      </c>
      <c r="AP6" s="620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169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3</v>
      </c>
      <c r="AL8" s="470" t="s">
        <v>169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2000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350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191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192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193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194</v>
      </c>
      <c r="AT21" s="416"/>
      <c r="AU21" s="479"/>
      <c r="AW21" s="485"/>
      <c r="BC21" s="414"/>
      <c r="BD21" s="416" t="s">
        <v>195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196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170</v>
      </c>
      <c r="AH26" s="605" t="s">
        <v>197</v>
      </c>
      <c r="AI26" s="584" t="s">
        <v>173</v>
      </c>
      <c r="AJ26" s="584" t="s">
        <v>174</v>
      </c>
      <c r="AK26" s="584" t="s">
        <v>175</v>
      </c>
      <c r="AL26" s="595" t="s">
        <v>176</v>
      </c>
      <c r="AM26" s="595"/>
      <c r="AN26" s="415"/>
      <c r="AO26" s="415"/>
      <c r="AP26" s="415"/>
      <c r="AQ26" s="415"/>
      <c r="AR26" s="414"/>
      <c r="AS26" s="428" t="s">
        <v>168</v>
      </c>
      <c r="AT26" s="429" t="s">
        <v>198</v>
      </c>
      <c r="BD26" s="428" t="s">
        <v>168</v>
      </c>
      <c r="BE26" s="429" t="s">
        <v>169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199</v>
      </c>
      <c r="AH28" s="582" t="s">
        <v>200</v>
      </c>
      <c r="AI28" s="582" t="s">
        <v>169</v>
      </c>
      <c r="AJ28" s="582" t="s">
        <v>201</v>
      </c>
      <c r="AK28" s="582" t="s">
        <v>181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205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205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207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208</v>
      </c>
      <c r="AT41" s="614"/>
      <c r="AU41" s="614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210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211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196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168</v>
      </c>
      <c r="AT46" s="429" t="s">
        <v>198</v>
      </c>
      <c r="AX46" s="493">
        <f>AT54</f>
        <v>400</v>
      </c>
      <c r="BD46" s="428" t="s">
        <v>168</v>
      </c>
      <c r="BE46" s="429" t="s">
        <v>198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205</v>
      </c>
      <c r="BA52" s="484"/>
      <c r="BD52" s="438" t="s">
        <v>187</v>
      </c>
      <c r="BE52" s="434" t="s">
        <v>205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210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196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217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218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700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45508.568585717592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45508.568585717592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45508.568585717592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70</v>
      </c>
      <c r="C1" s="272" t="s">
        <v>427</v>
      </c>
      <c r="D1" s="273">
        <f>تسعير!BL12</f>
        <v>350</v>
      </c>
      <c r="E1" s="272" t="s">
        <v>125</v>
      </c>
      <c r="F1" s="273">
        <f>تسعير!BG10</f>
        <v>2000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3.5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3937.5</v>
      </c>
      <c r="G3" s="195">
        <f>IF(D1&lt;=350,3.5,0)</f>
        <v>3.5</v>
      </c>
      <c r="H3" s="195">
        <f>IF(AND((D1&gt;350),(D1&lt;=500)),5,0)</f>
        <v>0</v>
      </c>
      <c r="I3" s="195">
        <f>IF(D1&gt;500,7,0)</f>
        <v>0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33">
        <f>NOW()</f>
        <v>45508.568585717592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7</v>
      </c>
      <c r="F4" s="392">
        <f>B4*C4*D4*E4</f>
        <v>4900.0000000000009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10.5</v>
      </c>
      <c r="D5" s="187">
        <v>50</v>
      </c>
      <c r="E5" s="187">
        <v>2</v>
      </c>
      <c r="F5" s="392">
        <f>B5*D5*E5</f>
        <v>1050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14</v>
      </c>
      <c r="D6" s="187">
        <v>15</v>
      </c>
      <c r="F6" s="392">
        <f ref="F6:F14" t="shared" si="0">B6*D6</f>
        <v>210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0.030364317847082475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82.000000000000014</v>
      </c>
      <c r="D7" s="187">
        <v>225</v>
      </c>
      <c r="F7" s="392">
        <f t="shared" si="0"/>
        <v>18450.000000000004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0.084841476337436328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0.1152057941845188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0.0052922558339141565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0.0029107407086527864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14</v>
      </c>
      <c r="D13" s="187">
        <v>10</v>
      </c>
      <c r="F13" s="392">
        <f t="shared" si="0"/>
        <v>140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0.0017199831460221009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561.25</v>
      </c>
      <c r="F17" s="395">
        <f>SUBTOTAL(109,Table823[اجمالي التكلفة])</f>
        <v>39287.5</v>
      </c>
      <c r="G17" s="394"/>
      <c r="H17" s="394"/>
      <c r="I17" s="394"/>
      <c r="J17" s="394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0.063507070006969882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0.073430049695558927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0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0.0063154252951375615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0.00059537878131534264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0.00059537878131534264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0.0009922979688589044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0.0059537878131534269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0.0015876767501742471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0.0029246676976894025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1433.3859649122808</v>
      </c>
      <c r="W45" s="525">
        <f>Table135926[[#Totals],[اجمالي]]/$R$71</f>
        <v>0.018964613087644227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39287.5</v>
      </c>
      <c r="V50" s="240">
        <f>M50*Table16136845[[#This Row],[سعر الشبك ]]</f>
        <v>39287.5</v>
      </c>
      <c r="W50" s="241">
        <f t="shared" si="6"/>
        <v>0.51979875268725606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39287.5</v>
      </c>
      <c r="V51" s="240">
        <f>M51*Table16136845[[#This Row],[سعر الشبك ]]</f>
        <v>3928.75</v>
      </c>
      <c r="W51" s="241">
        <f t="shared" si="6"/>
        <v>0.051979875268725606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43216.25</v>
      </c>
      <c r="W52" s="244">
        <f>Table16136845[[#Totals],[اجمالي]]/$R$71</f>
        <v>0.57177862795598167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5" s="240">
        <f ref="V55:V67" t="shared" si="7">M55*U55</f>
        <v>400</v>
      </c>
      <c r="W55" s="241">
        <f ref="W55:W67" t="shared" si="8">(V55)/$R$71</f>
        <v>0.0052922558339141565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6" s="240">
        <f t="shared" si="7"/>
        <v>400</v>
      </c>
      <c r="W56" s="241">
        <f t="shared" si="8"/>
        <v>0.0052922558339141565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0.0052922558339141565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0.0079383837508712352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650</v>
      </c>
      <c r="V59" s="240">
        <f t="shared" si="7"/>
        <v>2600</v>
      </c>
      <c r="W59" s="241">
        <f t="shared" si="8"/>
        <v>0.034399662920442019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650</v>
      </c>
      <c r="V60" s="240">
        <f t="shared" si="7"/>
        <v>1950</v>
      </c>
      <c r="W60" s="241">
        <f t="shared" si="8"/>
        <v>0.025799747190331516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0.012899873595165758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0.031753535003484941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0.023153619273374438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0.060860942090012804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0.0079383837508712352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16675</v>
      </c>
      <c r="W68" s="525">
        <f>Table16126744[[#Totals],[اجمالي]]/$R$71</f>
        <v>0.22062091507629641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75582.135964912275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98256.776754385966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197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197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198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198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226</v>
      </c>
      <c r="F10" s="331">
        <f>W11</f>
        <v>225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225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20788.75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197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16631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197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178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199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181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45508.56858590278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45508.56858590278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45508.56858590278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8.64</v>
      </c>
      <c r="C74" s="546" t="s">
        <v>427</v>
      </c>
      <c r="D74" s="547">
        <v>270</v>
      </c>
      <c r="E74" s="546" t="s">
        <v>125</v>
      </c>
      <c r="F74" s="547">
        <v>320</v>
      </c>
      <c r="G74" s="546" t="s">
        <v>173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45508.56858590278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16</v>
      </c>
      <c r="C76" s="553">
        <f>F74-16.5</f>
        <v>303.5</v>
      </c>
      <c r="D76" s="550" t="s">
        <v>565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320</v>
      </c>
      <c r="D77" s="550" t="s">
        <v>565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270</v>
      </c>
      <c r="D78" s="550" t="s">
        <v>565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320</v>
      </c>
      <c r="D79" s="550" t="s">
        <v>565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578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270</v>
      </c>
      <c r="D80" s="550" t="s">
        <v>565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303.5</v>
      </c>
      <c r="D81" s="550" t="s">
        <v>565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238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49</v>
      </c>
      <c r="D91" s="550" t="s">
        <v>565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49</v>
      </c>
      <c r="D92" s="550" t="s">
        <v>565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427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Φωτισμου'!B9</f>
        <v>4</v>
      </c>
    </row>
    <row r="19" ht="18" customHeight="1">
      <c r="A19" s="640" t="s">
        <v>434</v>
      </c>
      <c r="B19" s="641"/>
      <c r="C19" s="14">
        <f>'Format Φωτισμου'!B12</f>
        <v>8</v>
      </c>
    </row>
    <row r="20" ht="18" customHeight="1">
      <c r="A20" s="640" t="s">
        <v>435</v>
      </c>
      <c r="B20" s="641"/>
      <c r="C20" s="14">
        <f>C19/C18</f>
        <v>2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