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<sst xmlns="http://schemas.openxmlformats.org/spreadsheetml/2006/main" count="598" uniqueCount="598">
  <si>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</si>
  <si>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</si>
  <si>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</si>
  <si>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</si>
  <si>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</si>
  <si>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</si>
  <si>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</si>
  <si>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</si>
  <si>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</si>
  <si>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</si>
  <si>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</si>
  <si>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</si>
  <si>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</si>
  <si>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</si>
  <si>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</si>
  <si>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</si>
  <si>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</si>
  <si>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</si>
  <si>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</si>
  <si>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</si>
  <si>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</si>
  <si>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</si>
  <si>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</si>
  <si>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</si>
  <si>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</si>
  <si>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</si>
  <si>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</si>
  <si>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</si>
  <si>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</si>
  <si>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</si>
  <si>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</si>
  <si>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</si>
  <si>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</si>
  <si>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</si>
  <si>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</si>
  <si>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</si>
  <si>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</si>
  <si>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</si>
  <si>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</si>
  <si>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</si>
  <si>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</si>
  <si>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</si>
  <si>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</si>
  <si>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</si>
  <si>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</si>
  <si>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</si>
  <si>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</si>
  <si>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</si>
  <si>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</si>
  <si>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</si>
  <si>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</si>
  <si>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</si>
  <si>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</si>
  <si>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</si>
  <si>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</si>
  <si>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</si>
  <si>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</si>
  <si>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</si>
  <si>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</si>
  <si>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</si>
  <si>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</si>
  <si>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</si>
  <si>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</si>
  <si>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</si>
  <si>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</si>
  <si>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</si>
  <si>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</si>
  <si>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</si>
  <si>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</si>
  <si>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</si>
  <si>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</si>
  <si>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</si>
  <si>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</si>
  <si>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</si>
  <si>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</si>
  <si>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</si>
  <si>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</si>
  <si>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</si>
  <si>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</si>
  <si>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</si>
  <si>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</si>
  <si>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</si>
  <si>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</si>
  <si>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</si>
  <si>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</si>
  <si>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</si>
  <si>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</si>
  <si>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</si>
  <si>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</si>
  <si>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</si>
  <si>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</si>
  <si>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</si>
  <si>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</si>
  <si>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</si>
  <si>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</si>
  <si>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</si>
  <si>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</si>
  <si>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</si>
  <si>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</si>
  <si>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</si>
  <si>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</si>
  <si>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</si>
  <si>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</si>
  <si>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</si>
  <si>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</si>
  <si>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</si>
  <si>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</si>
  <si>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</si>
  <si>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</si>
  <si>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</si>
  <si>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</si>
  <si>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</si>
  <si>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</si>
  <si>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</si>
  <si>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</si>
  <si>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</si>
  <si>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</si>
  <si>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</si>
  <si>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</si>
  <si>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</si>
  <si>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</si>
  <si>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</si>
  <si>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</si>
  <si>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</si>
  <si>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</si>
  <si>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</si>
  <si>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</si>
  <si>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</si>
  <si>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</si>
  <si>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</si>
  <si>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</si>
  <si>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</si>
  <si>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</si>
  <si>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</si>
  <si>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</si>
  <si>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</si>
  <si>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</si>
  <si>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</si>
  <si>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</si>
  <si>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</si>
  <si>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</si>
  <si>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</si>
  <si>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</si>
  <si>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</si>
  <si>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</si>
  <si>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</si>
  <si>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</si>
  <si>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</si>
  <si>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</si>
  <si>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</si>
  <si>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</si>
  <si>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</si>
  <si>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</si>
  <si>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</si>
  <si>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</si>
  <si>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</si>
  <si>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</si>
  <si>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</si>
  <si>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</si>
  <si>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</si>
  <si>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</si>
  <si>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</si>
  <si>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</si>
  <si>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</si>
  <si>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</si>
  <si>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</si>
  <si>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</si>
  <si>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</si>
  <si>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</si>
  <si>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</si>
  <si>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</si>
  <si>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</si>
  <si>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</si>
  <si>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</si>
  <si>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</si>
  <si>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</si>
  <si>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</si>
  <si>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</si>
  <si>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</si>
  <si>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</si>
  <si>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</si>
  <si>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</si>
  <si>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</si>
  <si>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</si>
  <si>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</si>
  <si>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</si>
  <si>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</si>
  <si>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</si>
  <si>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</si>
  <si>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</si>
  <si>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</si>
  <si>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</si>
  <si>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</si>
  <si>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</si>
  <si>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</si>
  <si>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</si>
  <si>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</si>
  <si>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</si>
  <si>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</si>
  <si>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</si>
  <si>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</si>
  <si>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</si>
  <si>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</si>
  <si>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</si>
  <si>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</si>
  <si>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</si>
  <si>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</si>
  <si>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</si>
  <si>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</si>
  <si>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</si>
  <si>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</si>
  <si>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</si>
  <si>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</si>
  <si>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</si>
  <si>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</si>
  <si>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</si>
  <si>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</si>
  <si>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</si>
  <si>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</si>
  <si>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</si>
  <si>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</si>
  <si>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</si>
  <si>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</si>
  <si>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</si>
  <si>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</si>
  <si>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</si>
  <si>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</si>
  <si>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</si>
  <si>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</si>
  <si>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</si>
  <si>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</si>
  <si>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</si>
  <si>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</si>
  <si>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</si>
  <si>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</si>
  <si>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</si>
  <si>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</si>
  <si>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</si>
  <si>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</si>
  <si>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</si>
  <si>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</si>
  <si>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</si>
  <si>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</si>
  <si>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</si>
  <si>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</si>
  <si>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</si>
  <si>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</si>
  <si>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</si>
  <si>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</si>
  <si>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</si>
  <si>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</si>
  <si>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</si>
  <si>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</si>
  <si>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</si>
  <si>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</si>
  <si>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</si>
  <si>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</si>
  <si>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</si>
  <si>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</si>
  <si>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</si>
  <si>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</si>
  <si>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</si>
  <si>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</si>
  <si>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</si>
  <si>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</si>
  <si>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</si>
  <si>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</si>
  <si>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</si>
  <si>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</si>
  <si>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</si>
  <si>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</si>
  <si>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</si>
  <si>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</si>
  <si>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</si>
  <si>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</si>
  <si>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</si>
  <si>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</si>
  <si>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</si>
  <si>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</si>
  <si>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</si>
  <si>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</si>
  <si>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</si>
  <si>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</si>
  <si>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</si>
  <si>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</si>
  <si>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</si>
  <si>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</si>
  <si>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</si>
  <si>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</si>
  <si>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</si>
  <si>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</si>
  <si>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</si>
  <si>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</si>
  <si>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</si>
  <si>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</si>
  <si>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</si>
  <si>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</si>
  <si>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</si>
  <si>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</si>
  <si>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</si>
  <si>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</si>
  <si>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</si>
  <si>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</si>
  <si>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</si>
  <si>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</si>
  <si>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</si>
  <si>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</si>
  <si>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</si>
  <si>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</si>
  <si>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</si>
  <si>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</si>
  <si>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</si>
  <si>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</si>
  <si>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</si>
  <si>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</si>
  <si>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</si>
  <si>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</si>
  <si>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</si>
  <si>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</si>
  <si>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</si>
  <si>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</si>
  <si>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</si>
  <si>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</si>
  <si>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</si>
  <si>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</si>
  <si>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</si>
  <si>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</si>
  <si>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</si>
  <si>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</si>
  <si>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</si>
  <si>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</si>
  <si>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</si>
  <si>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</si>
  <si>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</si>
  <si>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</si>
  <si>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</si>
  <si>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</si>
  <si>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</si>
  <si>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</si>
  <si>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</si>
  <si>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</si>
  <si>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</si>
  <si>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</si>
  <si>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</si>
  <si>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</si>
  <si>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</si>
  <si>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</si>
  <si>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</si>
  <si>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</si>
  <si>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</si>
  <si>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</si>
  <si>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</si>
  <si>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</si>
  <si>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</si>
  <si>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</si>
  <si>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</si>
  <si>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</si>
  <si>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</si>
  <si>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</si>
  <si>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</si>
  <si>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</si>
  <si>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</si>
  <si>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</si>
  <si>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</si>
  <si>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</si>
  <si>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</si>
  <si>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</si>
  <si>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</si>
  <si>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</si>
  <si>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</si>
  <si>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</si>
  <si>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</si>
  <si>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</si>
  <si>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</si>
  <si>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</si>
  <si>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</si>
  <si>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</si>
  <si>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</si>
  <si>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</si>
  <si>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</si>
  <si>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</si>
  <si>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</si>
  <si>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</si>
  <si>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</si>
  <si>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</si>
  <si>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</si>
  <si>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</si>
  <si>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</si>
  <si>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</si>
  <si>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</si>
  <si>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</si>
  <si>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</si>
  <si>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</si>
  <si>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</si>
  <si>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</si>
  <si>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</si>
  <si>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</si>
  <si>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</si>
  <si>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</si>
  <si>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</si>
  <si>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</si>
  <si>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</si>
  <si>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</si>
  <si>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</si>
  <si>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</si>
  <si>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</si>
  <si>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</si>
  <si>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</si>
  <si>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</si>
  <si>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</si>
  <si>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</si>
  <si>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</si>
  <si>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</si>
  <si>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</si>
  <si>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</si>
  <si>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</si>
  <si>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</si>
  <si>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</si>
  <si>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</si>
  <si>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</si>
  <si>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</si>
  <si>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</si>
  <si>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</si>
  <si>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</si>
  <si>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</si>
  <si>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</si>
  <si>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</si>
  <si>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</si>
  <si>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</si>
  <si>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</si>
  <si>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</si>
  <si>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</si>
  <si>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</si>
  <si>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</si>
  <si>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</si>
  <si>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</si>
  <si>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</si>
  <si>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</si>
  <si>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</si>
  <si>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</si>
  <si>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</si>
  <si>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</si>
  <si>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</si>
  <si>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</si>
  <si>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</si>
  <si>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</si>
  <si>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</si>
  <si>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</si>
  <si>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</si>
  <si>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</si>
  <si>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</si>
  <si>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</si>
  <si>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</si>
  <si>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</si>
  <si>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</si>
  <si>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</si>
  <si>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</si>
  <si>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</si>
  <si>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</si>
  <si>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</si>
  <si>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</si>
  <si>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</si>
  <si>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</si>
  <si>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</si>
  <si>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</si>
  <si>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</si>
  <si>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</si>
  <si>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</si>
  <si>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</si>
  <si>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</si>
  <si>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</si>
  <si>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</si>
  <si>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</si>
  <si>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</si>
  <si>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</si>
  <si>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</si>
  <si>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</si>
  <si>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</si>
  <si>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</si>
  <si>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</si>
  <si>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</si>
  <si>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</si>
  <si>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</si>
  <si>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</si>
  <si>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</si>
  <si>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</si>
  <si>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</si>
  <si>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</si>
  <si>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</si>
  <si>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</si>
  <si>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</si>
  <si>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</si>
  <si>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</si>
  <si>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</si>
  <si>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</si>
  <si>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</si>
  <si>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</si>
  <si>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</si>
  <si>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</si>
  <si>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</si>
  <si>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</si>
  <si>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</si>
  <si>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</si>
  <si>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</si>
  <si>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</si>
  <si>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</si>
  <si>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</si>
  <si>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</si>
  <si>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</si>
  <si>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</si>
  <si>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</si>
  <si>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</si>
  <si>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</si>
  <si>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</si>
  <si>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</si>
  <si>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</si>
  <si>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</si>
  <si>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</si>
  <si>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</si>
  <si>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</si>
  <si>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</si>
  <si>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</si>
  <si>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</si>
  <si>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</si>
  <si>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</si>
  <si>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</si>
  <si>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</si>
  <si>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</si>
  <si>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</si>
  <si>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</si>
  <si>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</si>
  <si>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</si>
  <si>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</si>
  <si>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</si>
  <si>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</si>
  <si>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</si>
  <si>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</si>
  <si>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</si>
  <si>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</si>
  <si>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</si>
  <si>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</si>
  <si>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</si>
  <si>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</si>
  <si>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</si>
  <si>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</si>
  <si>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</si>
  <si>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</si>
  <si>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</si>
  <si>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</si>
  <si>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</si>
  <si>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</si>
  <si>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</si>
  <si>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</si>
  <si>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</si>
  <si>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</si>
  <si>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</si>
  <si>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</si>
  <si>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</si>
  <si>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</si>
  <si>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</si>
  <si>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</si>
  <si>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</si>
  <si>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</si>
  <si>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</si>
  <si>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</si>
  <si>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</si>
  <si>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</si>
  <si>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</si>
  <si>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</si>
  <si>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</si>
  <si>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</si>
  <si>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</si>
  <si>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</si>
  <si>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</si>
  <si>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</si>
  <si>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</si>
  <si>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</si>
  <si>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</si>
  <si>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</si>
  <si>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</si>
  <si>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</si>
  <si>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</si>
  <si>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</si>
  <si>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C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</si>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</sst>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110900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 (2)'!B9</f>
        <v>5</v>
      </c>
    </row>
    <row r="19" ht="18" customHeight="1">
      <c r="A19" s="675" t="s">
        <v>354</v>
      </c>
      <c r="B19" s="676"/>
      <c r="C19" s="14">
        <f>'Format Φωτισμου (2)'!B12</f>
        <v>35</v>
      </c>
    </row>
    <row r="20" ht="18" customHeight="1">
      <c r="A20" s="675" t="s">
        <v>355</v>
      </c>
      <c r="B20" s="676"/>
      <c r="C20" s="14">
        <f>C19/C18</f>
        <v>7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1200</v>
      </c>
      <c r="L6" s="698"/>
      <c r="M6" s="94" t="s">
        <v>372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</v>
      </c>
      <c r="L7" s="705"/>
      <c r="M7" s="705"/>
      <c r="N7" s="98" t="s">
        <v>374</v>
      </c>
      <c r="O7" s="99">
        <f>AA41/K7</f>
        <v>1939.3661255284062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1199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186179.148050727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765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34224.207792207824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392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3578.4717607973375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24</v>
      </c>
      <c r="H14" s="719"/>
      <c r="I14" s="720">
        <f>I12</f>
        <v>398.5</v>
      </c>
      <c r="J14" s="720"/>
      <c r="K14" s="106"/>
      <c r="L14" s="109">
        <f>تسجيل2!H28</f>
        <v>12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24231.724137930931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>
        <f>IF(L11&lt;=3,"0",(L11-3)*L14)</f>
        <v>12</v>
      </c>
      <c r="H15" s="719"/>
      <c r="I15" s="720">
        <f>IF(G15="-------","---------",I13)</f>
        <v>392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12115.862068965465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400.5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397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397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1339.0769230769279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1197.5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390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4752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1575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96349.440050726989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12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48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28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28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24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56507.1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186179.148050727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56">
        <f>N8</f>
        <v>772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1200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800</v>
      </c>
      <c r="D31" s="34" t="s">
        <v>483</v>
      </c>
      <c r="E31" s="36">
        <f>H34</f>
        <v>12</v>
      </c>
      <c r="F31" s="34"/>
      <c r="G31" s="34"/>
      <c r="H31" s="35"/>
      <c r="I31" s="788" t="s">
        <v>482</v>
      </c>
      <c r="J31" s="789"/>
      <c r="K31" s="36">
        <f>B19</f>
        <v>800</v>
      </c>
      <c r="L31" s="34" t="s">
        <v>483</v>
      </c>
      <c r="M31" s="36">
        <f>P34</f>
        <v>10</v>
      </c>
      <c r="N31" s="15"/>
      <c r="O31" s="34"/>
      <c r="P31" s="35"/>
      <c r="Q31" s="790" t="s">
        <v>482</v>
      </c>
      <c r="R31" s="791"/>
      <c r="S31" s="57">
        <f>B19</f>
        <v>800</v>
      </c>
      <c r="T31" s="47" t="s">
        <v>484</v>
      </c>
      <c r="U31" s="57">
        <f>INT((S31-4)/25)+1</f>
        <v>32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8"/>
      <c r="B7" s="799"/>
      <c r="C7" s="19" t="s">
        <v>507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802"/>
      <c r="B15" s="803"/>
      <c r="C15" s="10" t="s">
        <v>505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8"/>
      <c r="B24" s="809"/>
      <c r="C24" s="10" t="s">
        <v>505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10"/>
      <c r="B25" s="811"/>
      <c r="C25" s="19" t="s">
        <v>507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1200</v>
      </c>
      <c r="J4" s="15">
        <v>4</v>
      </c>
      <c r="K4" s="15">
        <v>2</v>
      </c>
    </row>
    <row r="5">
      <c r="A5" s="1" t="s">
        <v>503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Ro-2'!L14</f>
        <v>12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(((B4-(تسجيل2!C22*2))/200)+1)*B9</f>
        <v>32.5</v>
      </c>
      <c r="C10" s="674" t="s">
        <v>516</v>
      </c>
      <c r="D10" s="674"/>
      <c r="E10" s="14">
        <f>ROUND(B10,0)</f>
        <v>33</v>
      </c>
      <c r="J10" s="15">
        <v>10</v>
      </c>
      <c r="K10" s="15">
        <v>4</v>
      </c>
    </row>
    <row r="11">
      <c r="A11" s="12" t="s">
        <v>517</v>
      </c>
      <c r="B11" s="13">
        <f>E10/B9</f>
        <v>6.6</v>
      </c>
      <c r="C11" s="674" t="s">
        <v>516</v>
      </c>
      <c r="D11" s="674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>
        <f>Royal2!G85</f>
        <v>450836.18171253958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 t="e">
        <f>'بيرسا و لوفرز'!R140</f>
        <v>#DIV/0!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>
        <f>T22/(AA33*X31)*10000</f>
        <v>4696.2102261722875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 t="e">
        <f>BE22/(BE33*BE34/10000)</f>
        <v>#DIV/0!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38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583</v>
      </c>
      <c r="BH25" s="495">
        <f>BE34</f>
        <v>370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227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584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585</v>
      </c>
      <c r="T31" s="452"/>
      <c r="U31" s="453" t="s">
        <v>531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43" t="s">
        <v>586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1200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600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370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 t="e">
        <f>('بيرسا و لوفرز'!F97+'بيرسا و لوفرز'!V126+'بيرسا و لوفرز'!V134)*1.35</f>
        <v>#DIV/0!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 t="e">
        <f>BD37/(BE33*BE34/10000)</f>
        <v>#DIV/0!</v>
      </c>
      <c r="BE38" s="608"/>
      <c r="BK38" s="495">
        <f>BE33</f>
        <v>600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587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588</v>
      </c>
      <c r="AT41" s="609"/>
      <c r="AU41" s="609"/>
      <c r="AW41" s="487"/>
      <c r="BD41" s="418" t="s">
        <v>589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590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591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592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593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594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595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590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592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593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594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596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597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45826.620713414355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45826.620713414355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0.00551475258830329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0.048529822777068951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0.010997065455498913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0.014532995056234552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0.079574635877105712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0.003460236918151084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0.0028835307651259032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0.0015859419208192468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0.0011245769983991023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0.0027681895345208671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0.00034602369181510839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0.024221658427057587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0.00011534123060503613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0.0038927665329199692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0.0403982660194139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0.014532995056234552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0.0062284264526719507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0.020761421508906502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0.006920473836302168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0.0014381609691065443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0.016493795976520165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0.029412013804284213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0.00021626480738444275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0.00021626480738444275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0.0007208826912814758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0.0021626480738444272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0.0005767061530251806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0.058157211119133058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>
        <f>(Table161027[[#This Row],[اجمالي]])/$G$84</f>
        <v>0.0055507967228673634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0.11534123060503612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>
        <f>Table161027[[#Totals],[اجمالي]]/$G$84</f>
        <v>0.1208920273279035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1939.3661255284062</v>
      </c>
      <c r="I59" s="247"/>
      <c r="J59" s="413">
        <f>IF((Table161128[[#This Row],[عدد]]&gt;0),'Cutting Ro-2'!O8,0)</f>
        <v>186179.148050727</v>
      </c>
      <c r="K59" s="240">
        <f>Table161128[[#This Row],[عدد]]*Table161128[[#This Row],[سعر البرجولا كاملة]]</f>
        <v>186179.148050727</v>
      </c>
      <c r="L59" s="241">
        <f>(K59)/$G$84</f>
        <v>0.53685330122920161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186179.148050727</v>
      </c>
      <c r="K60" s="240">
        <f>Table161128[[#This Row],[عدد]]*Table161128[[#This Row],[سعر البرجولا كاملة]]</f>
        <v>18617.9148050727</v>
      </c>
      <c r="L60" s="241">
        <f>(K60)/$G$84</f>
        <v>0.05368533012292017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204797.06285579971</v>
      </c>
      <c r="L61" s="244">
        <f>Table161128[[#Totals],[اجمالي]]/$G$84</f>
        <v>0.59053863135212181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0.003460236918151084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0.001730118459075542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0.0051903553772266256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0.003460236918151084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0.011245769983991023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0.011245769983991023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0.011245769983991023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0.0076125212199323845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0.012975888443066564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0.0086505922953777088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0.0066321207597895776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0.0062284264526719507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0.0896778067954156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346797.06285579968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450836.18171253958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45826.620713414355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45826.620713414355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45826.620713576391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45826.620713576391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45826.620713576391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22.2</v>
      </c>
      <c r="C74" s="547" t="s">
        <v>162</v>
      </c>
      <c r="D74" s="548">
        <f>تسعير!BE34</f>
        <v>370</v>
      </c>
      <c r="E74" s="547" t="s">
        <v>125</v>
      </c>
      <c r="F74" s="548">
        <f>تسعير!BE33</f>
        <v>600</v>
      </c>
      <c r="G74" s="547" t="s">
        <v>292</v>
      </c>
      <c r="H74" s="548" t="str">
        <f>تسعير!BE26</f>
        <v>خشبي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B22</v>
      </c>
      <c r="O74" s="207"/>
      <c r="P74" s="207"/>
      <c r="Q74" s="304" t="s">
        <v>18</v>
      </c>
      <c r="R74" s="656">
        <f>NOW()</f>
        <v>45826.620713576391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23</v>
      </c>
      <c r="C76" s="554">
        <f>F74-16.5</f>
        <v>583.5</v>
      </c>
      <c r="D76" s="551" t="s">
        <v>300</v>
      </c>
      <c r="E76" s="551">
        <v>2.3</v>
      </c>
      <c r="F76" s="551" t="e">
        <f>IF(($H$74="سادة"),(J76*H76*E76*($U$73+(Sheet2!B41*1000))/1000),(J76*H76*E76*($U$73+(Sheet2!B15))/1000))</f>
        <v>#DIV/0!</v>
      </c>
      <c r="G76" s="541"/>
      <c r="H76" s="552">
        <f>IF(AND((C76&gt;=150),(C76&lt;201)),4,IF(AND((C76&gt;=201),(C76&lt;251)),5,IF(AND((C76&gt;=251),(C76&lt;401)),4,IF(AND((C76&gt;=401),(C76&lt;501)),5,0))))</f>
        <v>0</v>
      </c>
      <c r="I76" s="284">
        <f ref="I76:I81" t="shared" si="20">(H76*100)/C76</f>
        <v>0</v>
      </c>
      <c r="J76" s="555" t="e">
        <f ref="J76:J81" t="shared" si="21">B76/(ROUNDDOWN(I76,0))</f>
        <v>#DIV/0!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600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14895.999999999998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1.1666666666666667</v>
      </c>
      <c r="J77" s="555">
        <f t="shared" si="21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370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10640</v>
      </c>
      <c r="G78" s="556"/>
      <c r="H78" s="552">
        <f>IF(AND((C78&gt;=200),(C78&lt;=250)),5,IF(AND((C78&gt;250),(C78&lt;=350)),7,IF(AND((C78&gt;350),(C78&lt;501)),5,IF(AND((C78&gt;=501),(C78&lt;701)),7,0))))</f>
        <v>5</v>
      </c>
      <c r="I78" s="284">
        <f t="shared" si="20"/>
        <v>1.3513513513513513</v>
      </c>
      <c r="J78" s="555">
        <f t="shared" si="21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0.028353757830809807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600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6664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1.1666666666666667</v>
      </c>
      <c r="J79" s="555">
        <f t="shared" si="21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0.033717982285287336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370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4760</v>
      </c>
      <c r="G80" s="556"/>
      <c r="H80" s="552">
        <f>IF(AND((C80&gt;=200),(C80&lt;=250)),5,IF(AND((C80&gt;250),(C80&lt;=350)),7,IF(AND((C80&gt;350),(C80&lt;501)),5,IF(AND((C80&gt;=501),(C80&lt;701)),7,0))))</f>
        <v>5</v>
      </c>
      <c r="I80" s="284">
        <f t="shared" si="20"/>
        <v>1.3513513513513513</v>
      </c>
      <c r="J80" s="555">
        <f t="shared" si="21"/>
        <v>2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583.5</v>
      </c>
      <c r="D81" s="551" t="s">
        <v>300</v>
      </c>
      <c r="E81" s="551">
        <v>0.65</v>
      </c>
      <c r="F81" s="551" t="e">
        <f>IF(($H$74="سادة"),(J81*H81*E81*($U$73+(Sheet2!B41*1000))/1000),(J81*H81*E81*($U$73+(Sheet2!B15))/1000))</f>
        <v>#DIV/0!</v>
      </c>
      <c r="G81" s="556"/>
      <c r="H81" s="552">
        <f>IF(AND((C81&gt;=150),(C81&lt;201)),4,IF(AND((C81&gt;=201),(C81&lt;251)),5,IF(AND((C81&gt;=251),(C81&lt;401)),4,IF(AND((C81&gt;=401),(C81&lt;501)),5,0))))</f>
        <v>0</v>
      </c>
      <c r="I81" s="284">
        <f t="shared" si="20"/>
        <v>0</v>
      </c>
      <c r="J81" s="555" t="e">
        <f t="shared" si="21"/>
        <v>#DIV/0!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347.2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29700</v>
      </c>
      <c r="W82" s="244">
        <f>Table15880101[[#Totals],[اجمالي]]/$R$68</f>
        <v>0.12644243356982751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46</v>
      </c>
      <c r="D83" s="551" t="s">
        <v>28</v>
      </c>
      <c r="E83" s="194">
        <v>20</v>
      </c>
      <c r="F83" s="551">
        <f>E83*C83</f>
        <v>920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46</v>
      </c>
      <c r="D84" s="551" t="s">
        <v>28</v>
      </c>
      <c r="E84" s="194">
        <v>18</v>
      </c>
      <c r="F84" s="551">
        <f>E84*C84</f>
        <v>828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46</v>
      </c>
      <c r="D88" s="551" t="s">
        <v>28</v>
      </c>
      <c r="E88" s="194">
        <v>120</v>
      </c>
      <c r="F88" s="551">
        <f>C88*E88</f>
        <v>5520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46</v>
      </c>
      <c r="D89" s="551" t="s">
        <v>28</v>
      </c>
      <c r="E89" s="194">
        <v>120</v>
      </c>
      <c r="F89" s="551">
        <f>C89*E89</f>
        <v>5520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135</v>
      </c>
      <c r="D91" s="551" t="s">
        <v>300</v>
      </c>
      <c r="E91" s="194">
        <v>10</v>
      </c>
      <c r="F91" s="551">
        <f>C91*E91</f>
        <v>1350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135</v>
      </c>
      <c r="D92" s="551" t="s">
        <v>300</v>
      </c>
      <c r="E92" s="194">
        <v>20</v>
      </c>
      <c r="F92" s="551">
        <f ref="F92:F93" t="shared" si="24">C92*E92</f>
        <v>2700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8</v>
      </c>
      <c r="D93" s="551" t="s">
        <v>28</v>
      </c>
      <c r="E93" s="194">
        <v>250</v>
      </c>
      <c r="F93" s="551">
        <f t="shared" si="24"/>
        <v>2000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8</v>
      </c>
      <c r="D94" s="551" t="s">
        <v>28</v>
      </c>
      <c r="E94" s="194">
        <v>40</v>
      </c>
      <c r="F94" s="551">
        <f>E94*C94</f>
        <v>320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 t="e">
        <f>(Table80102114115[[#Totals],[price]]*1.1)/(F74*D74/10000)</f>
        <v>#DIV/0!</v>
      </c>
      <c r="C97" s="194"/>
      <c r="D97" s="194"/>
      <c r="E97" s="194"/>
      <c r="F97" s="194" t="e">
        <f>SUBTOTAL(109,Table80102114115[price])</f>
        <v>#DIV/0!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800</v>
      </c>
      <c r="W114" s="527">
        <f>Table13597192[[#Totals],[اجمالي]]/$R$68</f>
        <v>0.0034058567964936706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 t="e">
        <f>F97</f>
        <v>#DIV/0!</v>
      </c>
      <c r="V118" s="252" t="e">
        <f>M118*Table1613687798[[#This Row],[سعر الشبك ]]</f>
        <v>#DIV/0!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 t="e">
        <f>F97</f>
        <v>#DIV/0!</v>
      </c>
      <c r="V119" s="240" t="e">
        <f>M119*Table1613687798[[#This Row],[سعر الشبك ]]</f>
        <v>#DIV/0!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 t="e">
        <f>SUBTOTAL(109,Table1613687798[اجمالي])</f>
        <v>#DIV/0!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4390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 t="e">
        <f>Table1612677697[[#Totals],[اجمالي]]+Table1613687798[[#Totals],[اجمالي]]+Table13597192[[#Totals],[اجمالي]]+Table16627394[[#Totals],[اجمالي]]+Table15617293[[#Totals],[اجمالي]]+Table15880101[[#Totals],[اجمالي]]</f>
        <v>#DIV/0!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 t="e">
        <f>R139*(1+Table187079100[[#This Row],[Column3]])</f>
        <v>#DIV/0!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