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<sst xmlns="http://schemas.openxmlformats.org/spreadsheetml/2006/main" count="598" uniqueCount="598">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</sst>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298513.36666666664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14925.668333333331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 t="e">
        <f>'بيرسا و لوفرز'!BM139</f>
        <v>#DIV/0!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 t="e">
        <f>BE42/(BE53*BE54/10000)</f>
        <v>#DIV/0!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197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500</v>
      </c>
      <c r="BM46" s="485">
        <f>BE53</f>
        <v>3500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191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3500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500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 t="e">
        <f>('بيرسا و لوفرز'!BA85+'بيرسا و لوفرز'!BP133+'بيرسا و لوفرز'!BQ125)*1.35</f>
        <v>#DIV/0!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 t="e">
        <f>BD57/(BE53*BE54/10000)</f>
        <v>#DIV/0!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BF227900-7B91-46AC-9A1D-5A7AB8F25A5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784FC52A-4ACF-4F8B-9811-B56C129EF166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B11375EF-4008-4924-AFCF-025CC88F75F7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381EE402-4BEC-4A91-9D0C-B2F645A083F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22D9E2D0-6FEE-497F-90D9-837B19C6B95D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67EA3A1C-0C4E-4148-9772-C95461CA216D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E6956335-2F89-442F-92F7-84C70A3FC5E9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5F951FFF-9FFD-4FD7-A99A-36A8CA7E35A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FE83A73E-0495-4ADD-A716-77B3599CD73A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1589BEFE-B53E-46BC-A312-6D7C63A466DE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1741AA99-0BDB-4E16-8DBE-F8BE02613056}">
          <x14:formula1>
            <xm:f>wavy2!$A$19:$A$20</xm:f>
          </x14:formula1>
          <xm:sqref>BE9</xm:sqref>
        </x14:dataValidation>
        <x14:dataValidation type="list" allowBlank="1" showInputMessage="1" showErrorMessage="1" xr:uid="{4EC202E5-1CC8-4C81-B757-F0102019AD99}">
          <x14:formula1>
            <xm:f>wavy1!$A$19:$A$20</xm:f>
          </x14:formula1>
          <xm:sqref>AT9</xm:sqref>
        </x14:dataValidation>
        <x14:dataValidation type="list" allowBlank="1" showInputMessage="1" showErrorMessage="1" xr:uid="{BA9FE375-598C-44B0-9ED6-E9675CE15B21}">
          <x14:formula1>
            <xm:f>Sheet2!$B$5:$B$7</xm:f>
          </x14:formula1>
          <xm:sqref>T25 T46 T64</xm:sqref>
        </x14:dataValidation>
        <x14:dataValidation type="list" allowBlank="1" showInputMessage="1" showErrorMessage="1" xr:uid="{4B232758-8977-4642-92D6-FB2C630347DD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D987B57C-5035-4AC7-A470-590FCDA54A59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E176EA02-DA47-41C9-96D9-69195E810E77}">
          <x14:formula1>
            <xm:f>Sheet2!$C$5:$C$6</xm:f>
          </x14:formula1>
          <xm:sqref>T26</xm:sqref>
        </x14:dataValidation>
        <x14:dataValidation type="list" allowBlank="1" showInputMessage="1" showErrorMessage="1" xr:uid="{23C7ADBB-C0F8-4897-887E-3C28B413FA9F}">
          <x14:formula1>
            <xm:f>Sheet2!$A$5</xm:f>
          </x14:formula1>
          <xm:sqref>U31</xm:sqref>
        </x14:dataValidation>
        <x14:dataValidation type="list" allowBlank="1" showInputMessage="1" showErrorMessage="1" xr:uid="{C092A45D-A4EF-42CE-8E46-1868E57D148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FD635D5-4866-48D8-9796-691769C791E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266A66D0-895F-4A97-890A-F150B962F80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8A19863C-E8BB-42D4-86B1-A57BF5256CD7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BA58DA78-9DA2-4526-9149-1FC254EA540E}">
          <x14:formula1>
            <xm:f>Sheet2!$D$5:$D$6</xm:f>
          </x14:formula1>
          <xm:sqref>T32 T53 T71</xm:sqref>
        </x14:dataValidation>
        <x14:dataValidation type="list" allowBlank="1" showInputMessage="1" showErrorMessage="1" xr:uid="{7E6B2C51-FE7F-43D3-81EF-0194F3598A1F}">
          <x14:formula1>
            <xm:f>Sheet2!$A$6</xm:f>
          </x14:formula1>
          <xm:sqref>AC36</xm:sqref>
        </x14:dataValidation>
        <x14:dataValidation type="list" allowBlank="1" showInputMessage="1" showErrorMessage="1" xr:uid="{51CBC2A5-22C6-4EE1-AF5B-A78768994578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45640.676141331016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9781F23-E2E7-4098-AF67-F3B57116A829}">
      <formula1>$N$2:$N$20</formula1>
    </dataValidation>
    <dataValidation type="list" allowBlank="1" showInputMessage="1" showErrorMessage="1" sqref="G63:G75" xr:uid="{BBF9FC88-5A9B-48F6-81AD-A7CAC344E477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45640.676141331016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D126D300-90C4-49D6-B62F-C8E21F3E35C6}">
      <formula1>$U$4:$U$5</formula1>
    </dataValidation>
    <dataValidation type="list" allowBlank="1" showInputMessage="1" showErrorMessage="1" sqref="F72:F80" xr:uid="{D13AC7DB-5804-4D5F-A114-FD8940D235BC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45640.676141331016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9E8372CF-3C62-4D5F-8C8D-7B58EFBFB07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45640.676141331016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0DA845D-87C4-4ECE-A3C6-F5F8AA20AB3B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841FF9BC-8121-404F-960A-DAFC60A32CD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45640.676141331016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45640.676141331016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175</v>
      </c>
      <c r="AX72" s="272" t="s">
        <v>428</v>
      </c>
      <c r="AY72" s="273">
        <f>تسعير!BE54</f>
        <v>500</v>
      </c>
      <c r="AZ72" s="272" t="s">
        <v>125</v>
      </c>
      <c r="BA72" s="273">
        <f>تسعير!BE53</f>
        <v>3500</v>
      </c>
      <c r="BC72" s="167"/>
      <c r="BD72" s="167" t="str">
        <f>تسعير!BE52</f>
        <v>قواعد عادية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B32</v>
      </c>
      <c r="BJ73" s="207"/>
      <c r="BK73" s="207"/>
      <c r="BL73" s="296" t="s">
        <v>18</v>
      </c>
      <c r="BM73" s="642">
        <f>NOW()</f>
        <v>45640.676141504628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45640.676141504628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29</v>
      </c>
      <c r="AX74" s="197">
        <f>BA72-16.5</f>
        <v>3483.5</v>
      </c>
      <c r="AY74" s="194" t="s">
        <v>566</v>
      </c>
      <c r="AZ74" s="194">
        <v>2</v>
      </c>
      <c r="BA74" s="194" t="e">
        <f>IF((تسعير!$BE$46="سادة"),(BE74*BC74*AZ74*(Sheet2!$B$14+(Sheet2!B41*1000))/1000),(BE74*BC74*AZ74*(Sheet2!$B$14+Sheet2!$B$15)/1000))</f>
        <v>#DIV/0!</v>
      </c>
      <c r="BC74" s="198">
        <f>IF(AND((AX74&gt;=150),(AX74&lt;201)),4,IF(AND((AX74&gt;=201),(AX74&lt;251)),5,IF(AND((AX74&gt;=251),(AX74&lt;401)),4,IF(AND((AX74&gt;=401),(AX74&lt;501)),5,0))))</f>
        <v>0</v>
      </c>
      <c r="BD74" s="300">
        <f>(BC74*100)/AX74</f>
        <v>0</v>
      </c>
      <c r="BE74" s="185" t="e">
        <f>AW74/(ROUNDDOWN(BD74,0))</f>
        <v>#DIV/0!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3500</v>
      </c>
      <c r="AY75" s="194" t="s">
        <v>566</v>
      </c>
      <c r="AZ75" s="194">
        <v>1.7</v>
      </c>
      <c r="BA75" s="194" t="e">
        <f>IF((تسعير!$BE$46="سادة"),(BE75*BC75*AZ75*(Sheet2!$B$14+(Sheet2!B41*1000))/1000),(BE75*BC75*AZ75*(Sheet2!$B$14+Sheet2!$B$15)/1000))</f>
        <v>#DIV/0!</v>
      </c>
      <c r="BC75" s="198">
        <f>IF(AND((AX75&gt;=200),(AX75&lt;350)),5,IF(AND((AX75&gt;=350),(AX75&lt;400)),7,IF(AND((AX75&gt;=400),(AX75&lt;501)),5,IF(AND((AX75&gt;=501),(AX75&lt;701)),7,0))))</f>
        <v>0</v>
      </c>
      <c r="BD75" s="300">
        <f>(BC75*100)/AX75</f>
        <v>0</v>
      </c>
      <c r="BE75" s="185" t="e">
        <f>AW75/(ROUNDDOWN(BD75,0))</f>
        <v>#DIV/0!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500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4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14.399999999999999</v>
      </c>
      <c r="BM76" s="211"/>
      <c r="BN76" s="211">
        <v>84</v>
      </c>
      <c r="BO76" s="211">
        <f>Table15880101112[[#This Row],[المسطح]]*Table15880101112[[#This Row],[عدد]]</f>
        <v>57.599999999999994</v>
      </c>
      <c r="BP76" s="239">
        <f>BN76*$S$2/1000</f>
        <v>3780</v>
      </c>
      <c r="BQ76" s="240">
        <f>BH76*BP76</f>
        <v>15120</v>
      </c>
      <c r="BR76" s="241">
        <f>(BQ76)/$R$68</f>
        <v>0.060395928867017112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440.8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58</v>
      </c>
      <c r="AY78" s="194" t="s">
        <v>28</v>
      </c>
      <c r="AZ78" s="194">
        <v>17</v>
      </c>
      <c r="BA78" s="194">
        <f>AZ78*AX78</f>
        <v>986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5.076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58</v>
      </c>
      <c r="AY79" s="194" t="s">
        <v>28</v>
      </c>
      <c r="AZ79" s="194">
        <v>12</v>
      </c>
      <c r="BA79" s="194">
        <f>AZ79*AX79</f>
        <v>696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8.57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3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2.16</v>
      </c>
      <c r="BM80" s="242" t="s">
        <v>43</v>
      </c>
      <c r="BN80" s="211"/>
      <c r="BO80" s="211">
        <f>Table15880101112[[#This Row],[المسطح]]*Table15880101112[[#This Row],[عدد]]</f>
        <v>6.48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5.0600000000000005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4.3039999999999994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32.879999999999995</v>
      </c>
      <c r="BM81" s="211"/>
      <c r="BN81" s="211">
        <f>(BN76*BH76)+(BN77*BH77)+(BN78*BH78)+(BN79*BH79)</f>
        <v>660</v>
      </c>
      <c r="BO81" s="211">
        <f>SUBTOTAL(109,Table15880101112[اجمالي المسطح])</f>
        <v>129.35999999999999</v>
      </c>
      <c r="BP81" s="242"/>
      <c r="BQ81" s="240">
        <f>SUBTOTAL(109,Table15880101112[اجمالي])</f>
        <v>29700</v>
      </c>
      <c r="BR81" s="244">
        <f>Table15880101112[[#Totals],[اجمالي]]/$R$68</f>
        <v>0.11863486027449791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10.87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58</v>
      </c>
      <c r="AY82" s="194" t="s">
        <v>28</v>
      </c>
      <c r="AZ82" s="194">
        <v>100</v>
      </c>
      <c r="BA82" s="194">
        <f>AX82*AZ82</f>
        <v>5800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4.2400000000000011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58</v>
      </c>
      <c r="AY83" s="194" t="s">
        <v>28</v>
      </c>
      <c r="AZ83" s="194">
        <v>100</v>
      </c>
      <c r="BA83" s="194">
        <f>AX83*AZ83</f>
        <v>5800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 t="e">
        <f>(Table80102113[[#Totals],[price]]*1.1)/(BA72*AY72/10000)</f>
        <v>#DIV/0!</v>
      </c>
      <c r="AX85" s="302"/>
      <c r="AY85" s="302"/>
      <c r="AZ85" s="302"/>
      <c r="BA85" s="302" t="e">
        <f>SUBTOTAL(109,Table80102113[price])</f>
        <v>#DIV/0!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0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0</v>
      </c>
      <c r="BR87" s="241">
        <f>(BQ87)/$R$68</f>
        <v>0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4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1550</v>
      </c>
      <c r="BR89" s="244">
        <f>Table15617293104[[#Totals],[اجمالي]]/$R$68</f>
        <v>0.00619138159681723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0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0</v>
      </c>
      <c r="BR92" s="249">
        <f>(BQ92)/$R$68</f>
        <v>0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0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0</v>
      </c>
      <c r="BR94" s="251">
        <f>(BQ94)/$R$68</f>
        <v>0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0</v>
      </c>
      <c r="BI95" s="213" t="s">
        <v>58</v>
      </c>
      <c r="BJ95" s="214"/>
      <c r="BK95" s="214"/>
      <c r="BL95" s="216">
        <f>SUBTOTAL(109,Table16627394105[Column12])</f>
        <v>9.6000000000000014</v>
      </c>
      <c r="BM95" s="211"/>
      <c r="BN95" s="211">
        <f>(BN93*BH93)+(BH94*BN94)</f>
        <v>0</v>
      </c>
      <c r="BO95" s="211"/>
      <c r="BP95" s="242"/>
      <c r="BQ95" s="240">
        <f>SUBTOTAL(109,Table16627394105[اجمالي])</f>
        <v>0</v>
      </c>
      <c r="BR95" s="244">
        <f>Table16627394105[[#Totals],[اجمالي]]/$R$68</f>
        <v>0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3.6233333333333331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1449.3333333333333</v>
      </c>
      <c r="BR98" s="241">
        <f ref="BR98:BR112" t="shared" si="27" ca="1">(BQ98)/$R$68</f>
        <v>0.0057892746630024338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2.8566666666666669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1142.6666666666667</v>
      </c>
      <c r="W99" s="241">
        <f ref="W99:W113" t="shared" si="29" ca="1">(V99)/$R$68</f>
        <v>0.0045643131427719284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1250</v>
      </c>
      <c r="BR104" s="251">
        <f t="shared" si="27" ca="1"/>
        <v>0.0049930496748526055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1250</v>
      </c>
      <c r="W105" s="251">
        <f t="shared" si="29" ca="1"/>
        <v>0.0049930496748526055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630</v>
      </c>
      <c r="BR105" s="251">
        <f t="shared" si="27" ca="1"/>
        <v>0.002516497036125713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630</v>
      </c>
      <c r="W106" s="251">
        <f t="shared" si="29" ca="1"/>
        <v>0.002516497036125713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11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5610</v>
      </c>
      <c r="BR106" s="251">
        <f t="shared" si="27" ca="1"/>
        <v>0.02240880694073849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9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4590</v>
      </c>
      <c r="W107" s="251">
        <f t="shared" si="29" ca="1"/>
        <v>0.018334478406058768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0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0</v>
      </c>
      <c r="W110" s="251">
        <f t="shared" si="29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0</v>
      </c>
      <c r="W111" s="251">
        <f t="shared" si="29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9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9302.3333333333321</v>
      </c>
      <c r="BR113" s="566">
        <f>Table13597192103[[#Totals],[اجمالي]]/$R$68</f>
        <v>0.037157609940296439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8032.666666666667</v>
      </c>
      <c r="W114" s="516">
        <f>Table13597192[[#Totals],[اجمالي]]/$R$68</f>
        <v>0.032086002950559488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 t="e">
        <f>Table80102113[[#Totals],[price]]</f>
        <v>#DIV/0!</v>
      </c>
      <c r="BQ117" s="252" t="e">
        <f>BH117*Table1613687798109[[#This Row],[سعر الشبك ]]</f>
        <v>#DIV/0!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 t="e">
        <f>BQ117</f>
        <v>#DIV/0!</v>
      </c>
      <c r="BQ118" s="240" t="e">
        <f>BH118*Table1613687798109[[#This Row],[سعر الشبك ]]</f>
        <v>#DIV/0!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 t="e">
        <f>SUBTOTAL(109,Table1613687798109[اجمالي])</f>
        <v>#DIV/0!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 t="e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#DIV/0!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229625.66666666666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 t="e">
        <f>BM138*(1+Table187079100111[[#This Row],[Column3]])</f>
        <v>#DIV/0!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298513.36666666664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E52EB9E9-F610-4661-9FFE-416A1F0D858B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