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<sst xmlns="http://schemas.openxmlformats.org/spreadsheetml/2006/main" count="597" uniqueCount="597">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</sst>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D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D2</v>
      </c>
      <c r="I3" s="233">
        <f>Table1[[#Totals],[اجمالي]]+Table14[[#Totals],[اجمالي]]+Table15[[#Totals],[اجمالي]]+Table16[[#Totals],[اجمالي]]+Table1610[[#Totals],[اجمالي]]</f>
        <v>40255.625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600</v>
      </c>
      <c r="L6" s="698"/>
      <c r="M6" s="94" t="s">
        <v>372</v>
      </c>
      <c r="N6" s="186">
        <f>تسجيل1!E7</f>
        <v>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54</v>
      </c>
      <c r="L7" s="705"/>
      <c r="M7" s="705"/>
      <c r="N7" s="98" t="s">
        <v>374</v>
      </c>
      <c r="O7" s="99">
        <f>AA41/K7</f>
        <v>2199.6544204826318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872</v>
      </c>
      <c r="O8" s="102">
        <f>O7*K7</f>
        <v>118781.33870606212</v>
      </c>
      <c r="P8" s="103"/>
      <c r="Q8" s="103"/>
      <c r="R8" s="103"/>
      <c r="S8" s="103">
        <f>Sheet2!B16</f>
        <v>300</v>
      </c>
      <c r="T8" s="137">
        <f>((K8*N8)/10000)*1.2</f>
        <v>62.679359999999996</v>
      </c>
      <c r="U8" s="138">
        <f>T8*S8</f>
        <v>18803.807999999997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οδηγου'!F8</f>
        <v>865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3.24375</v>
      </c>
      <c r="U11" s="103">
        <f>CEILING(T11,0.5)</f>
        <v>3.5</v>
      </c>
      <c r="V11" s="103">
        <f>U11*S11</f>
        <v>28</v>
      </c>
      <c r="W11" s="140">
        <v>4.45627705627706</v>
      </c>
      <c r="X11" s="141">
        <f>($W$1/1000)*W11*V11</f>
        <v>29946.181818181845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3.96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26</v>
      </c>
      <c r="H14" s="719"/>
      <c r="I14" s="720">
        <f>I12</f>
        <v>297</v>
      </c>
      <c r="J14" s="720"/>
      <c r="K14" s="106"/>
      <c r="L14" s="109">
        <f>تسجيل1!H28</f>
        <v>13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25.74</v>
      </c>
      <c r="U14" s="103">
        <f>CEILING(T14,0.5)</f>
        <v>26</v>
      </c>
      <c r="V14" s="103">
        <f t="shared" si="1"/>
        <v>78</v>
      </c>
      <c r="W14" s="140">
        <v>1.05172413793103</v>
      </c>
      <c r="X14" s="141">
        <f t="shared" si="7"/>
        <v>19688.275862068884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290.5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0.9966666666666667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1.9233333333333333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1775</v>
      </c>
      <c r="J21" s="733"/>
      <c r="K21" s="106"/>
      <c r="L21" s="112">
        <f>IF(Format!E7=1,"-------",IF(Format!E7=5,"-------",تسجيل1!H30))</f>
        <v>3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53.25</v>
      </c>
      <c r="U21" s="142">
        <f t="shared" si="0"/>
        <v>53.25</v>
      </c>
      <c r="V21" s="142">
        <f>U21*S21</f>
        <v>53.25</v>
      </c>
      <c r="W21" s="142">
        <f>Sheet2!B17</f>
        <v>175</v>
      </c>
      <c r="X21" s="144">
        <f>W21*V21</f>
        <v>9318.75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66329.530706062127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15000</v>
      </c>
      <c r="Z24" s="151"/>
      <c r="AA24" s="60">
        <f>V24*F24</f>
        <v>390</v>
      </c>
      <c r="AB24" s="60">
        <f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13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39</v>
      </c>
      <c r="AB28" s="60">
        <f t="shared" si="11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12</v>
      </c>
      <c r="AB29" s="60">
        <f t="shared" si="11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39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78</v>
      </c>
      <c r="AB30" s="60">
        <f t="shared" si="11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30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39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60</v>
      </c>
      <c r="AB31" s="60">
        <f t="shared" si="11"/>
        <v>3120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30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150</v>
      </c>
      <c r="AB32" s="60">
        <f t="shared" si="11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13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390</v>
      </c>
      <c r="AB36" s="60">
        <f t="shared" si="11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33648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118781.33870606212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599</v>
      </c>
      <c r="L97" s="177" t="str">
        <f>M8</f>
        <v>Χ</v>
      </c>
      <c r="M97" s="756">
        <f>N8</f>
        <v>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600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900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900</v>
      </c>
      <c r="D31" s="34" t="s">
        <v>483</v>
      </c>
      <c r="E31" s="36">
        <f>H34</f>
        <v>13</v>
      </c>
      <c r="F31" s="34"/>
      <c r="G31" s="34"/>
      <c r="H31" s="35"/>
      <c r="I31" s="788" t="s">
        <v>482</v>
      </c>
      <c r="J31" s="789"/>
      <c r="K31" s="36">
        <f>B19</f>
        <v>900</v>
      </c>
      <c r="L31" s="34" t="s">
        <v>483</v>
      </c>
      <c r="M31" s="36">
        <f>P34</f>
        <v>12</v>
      </c>
      <c r="N31" s="15"/>
      <c r="O31" s="34"/>
      <c r="P31" s="35"/>
      <c r="Q31" s="790" t="s">
        <v>482</v>
      </c>
      <c r="R31" s="791"/>
      <c r="S31" s="57">
        <f>B19</f>
        <v>900</v>
      </c>
      <c r="T31" s="47" t="s">
        <v>484</v>
      </c>
      <c r="U31" s="57">
        <f>INT((S31-4)/25)+1</f>
        <v>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13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12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13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12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13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12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900</v>
      </c>
      <c r="E2" s="1">
        <f>تسجيل1!E7</f>
        <v>900</v>
      </c>
      <c r="F2" s="1">
        <f>تسجيل1!E7</f>
        <v>900</v>
      </c>
      <c r="G2" s="1">
        <f>تسجيل1!E7</f>
        <v>900</v>
      </c>
      <c r="H2" s="8">
        <f>تسجيل1!E7</f>
        <v>900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900</v>
      </c>
      <c r="E6" s="1">
        <f>IF(E3=0,E2,E2-E3-E4+10)</f>
        <v>900</v>
      </c>
      <c r="F6" s="1">
        <f>IF(F3=0,F2,F2-F3-F4+10)</f>
        <v>900</v>
      </c>
      <c r="G6" s="1">
        <f>IF(G3=0,G2,G2-G3-G4+10)</f>
        <v>900</v>
      </c>
      <c r="H6" s="8">
        <f>IF(H3=0,H2,H2-H3-H4+10)</f>
        <v>900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900</v>
      </c>
      <c r="L6" s="10">
        <f>IF(Format!E8=1,تسجيل1!E7-30,IF(Format!E8=2,D7,IF(Format!E8=3,E7,IF(Format!E8=4,F7,IF(Format!E8=5,G7,IF(Format!E8=6,H7,"-----"))))))</f>
        <v>870</v>
      </c>
    </row>
    <row r="7">
      <c r="A7" s="798"/>
      <c r="B7" s="799"/>
      <c r="C7" s="19" t="s">
        <v>507</v>
      </c>
      <c r="D7" s="6">
        <f>D6-30</f>
        <v>870</v>
      </c>
      <c r="E7" s="6">
        <f>E6-17</f>
        <v>883</v>
      </c>
      <c r="F7" s="6">
        <f>F6-30</f>
        <v>870</v>
      </c>
      <c r="G7" s="6">
        <f>G6-17</f>
        <v>883</v>
      </c>
      <c r="H7" s="9">
        <f>H6-30</f>
        <v>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900</v>
      </c>
      <c r="E11" s="1">
        <f>تسجيل1!E7</f>
        <v>900</v>
      </c>
      <c r="F11" s="1">
        <f>تسجيل1!E7</f>
        <v>900</v>
      </c>
      <c r="G11" s="1">
        <f>تسجيل1!E7</f>
        <v>900</v>
      </c>
      <c r="H11" s="8">
        <f>تسجيل1!E7</f>
        <v>900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900</v>
      </c>
      <c r="L14" s="10">
        <f>IF(Format!E8=1,تسجيل1!E7-30,IF(Format!E8=2,D16,IF(Format!E8=3,E16,IF(Format!E8=4,F16,IF(Format!E8=5,G16,IF(Format!E8=6,H16))))))</f>
        <v>870</v>
      </c>
    </row>
    <row r="15">
      <c r="A15" s="802"/>
      <c r="B15" s="803"/>
      <c r="C15" s="10" t="s">
        <v>505</v>
      </c>
      <c r="D15" s="1">
        <f>IF(D12=0,D11,D11-D12-D13+11)</f>
        <v>900</v>
      </c>
      <c r="E15" s="1">
        <f>IF(E12=0,E11,E11-E12-E13+11)</f>
        <v>900</v>
      </c>
      <c r="F15" s="1">
        <f>IF(F12=0,F11,F11-F12-F13+11)</f>
        <v>900</v>
      </c>
      <c r="G15" s="1">
        <f>IF(G12=0,G11,G11-G12-G13+11)</f>
        <v>900</v>
      </c>
      <c r="H15" s="8">
        <f>IF(H12=0,H11,H11-H12-H13+11)</f>
        <v>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870</v>
      </c>
      <c r="E16" s="6">
        <f>E15-17</f>
        <v>883</v>
      </c>
      <c r="F16" s="6">
        <f>F15-30</f>
        <v>870</v>
      </c>
      <c r="G16" s="6">
        <f>G15-17</f>
        <v>883</v>
      </c>
      <c r="H16" s="9">
        <f>H15-30</f>
        <v>870</v>
      </c>
      <c r="Q16" s="10">
        <f>IF(Format!A7=1,K6,IF(Format!A7=3,K6,IF(Format!A7=4,K23,IF(Format!A7=2,K23,IF(Format!A7=5,K14,"------")))))</f>
        <v>900</v>
      </c>
      <c r="R16" s="10">
        <f>IF(Format!A7=1,L6,IF(Format!A7=3,L6,IF(Format!A7=4,L23,IF(Format!A7=2,L23+2,IF(Format!A7=5,L14,"------")))))</f>
        <v>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900</v>
      </c>
      <c r="E20" s="1">
        <f>تسجيل1!E7</f>
        <v>900</v>
      </c>
      <c r="F20" s="1">
        <f>تسجيل1!E7</f>
        <v>900</v>
      </c>
      <c r="G20" s="1">
        <f>تسجيل1!E7</f>
        <v>900</v>
      </c>
      <c r="H20" s="8">
        <f>تسجيل1!E7</f>
        <v>900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900</v>
      </c>
      <c r="L23" s="10">
        <f>IF(Format!E8=1,تسجيل1!E7-30,IF(Format!E8=2,D25,IF(Format!E8=3,E25,IF(Format!E8=4,F25,IF(Format!E8=5,G25,IF(Format!E8=6,H25))))))</f>
        <v>870</v>
      </c>
    </row>
    <row r="24">
      <c r="A24" s="808"/>
      <c r="B24" s="809"/>
      <c r="C24" s="10" t="s">
        <v>505</v>
      </c>
      <c r="D24" s="1">
        <f>IF(D21=0,D20,D20-D21-D22+11)</f>
        <v>900</v>
      </c>
      <c r="E24" s="1">
        <f>IF(E21=0,E20,E20-E21-E22+11)</f>
        <v>900</v>
      </c>
      <c r="F24" s="1">
        <f>IF(F21=0,F20,F20-F21-F22+11)</f>
        <v>900</v>
      </c>
      <c r="G24" s="1">
        <f>IF(G21=0,G20,G20-G21-G22+11)</f>
        <v>900</v>
      </c>
      <c r="H24" s="8">
        <f>IF(H21=0,H20,H20-H21-H22+11)</f>
        <v>900</v>
      </c>
    </row>
    <row r="25">
      <c r="A25" s="810"/>
      <c r="B25" s="811"/>
      <c r="C25" s="19" t="s">
        <v>507</v>
      </c>
      <c r="D25" s="6">
        <f>D24-30</f>
        <v>870</v>
      </c>
      <c r="E25" s="6">
        <f>E24-13</f>
        <v>887</v>
      </c>
      <c r="F25" s="6">
        <f>F24-30</f>
        <v>870</v>
      </c>
      <c r="G25" s="6">
        <f>G24-13</f>
        <v>887</v>
      </c>
      <c r="H25" s="9">
        <f>H24-30</f>
        <v>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600</v>
      </c>
      <c r="J4" s="15">
        <v>4</v>
      </c>
      <c r="K4" s="15">
        <v>2</v>
      </c>
    </row>
    <row r="5">
      <c r="A5" s="1" t="s">
        <v>503</v>
      </c>
      <c r="B5" s="1">
        <f>تسجيل1!E7</f>
        <v>900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Ro-1'!L14</f>
        <v>13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17.5</v>
      </c>
      <c r="C10" s="674" t="s">
        <v>516</v>
      </c>
      <c r="D10" s="674"/>
      <c r="E10" s="14">
        <f>ROUND(B10,0)</f>
        <v>18</v>
      </c>
      <c r="J10" s="15">
        <v>10</v>
      </c>
      <c r="K10" s="15">
        <v>4</v>
      </c>
    </row>
    <row r="11">
      <c r="A11" s="12" t="s">
        <v>517</v>
      </c>
      <c r="B11" s="13">
        <f>E10/B9</f>
        <v>3.6</v>
      </c>
      <c r="C11" s="674" t="s">
        <v>516</v>
      </c>
      <c r="D11" s="674"/>
      <c r="E11" s="14">
        <f>ROUND(B11,0)</f>
        <v>4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20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 t="str">
        <f>IF((V14="ok"),Royal!G80,"R")</f>
        <v>R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 t="e">
        <f>T2/(AA10*X8)*10000</f>
        <v>#VALUE!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900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600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900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868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868</v>
      </c>
      <c r="F8" s="1">
        <f>IF(Format!A7=1,C6,IF(Format!A7=2,C7,IF(Format!A7=3,C8,IF(Format!A7=4,C9,IF(Format!A7=5,C10)))))</f>
        <v>865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900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900</v>
      </c>
      <c r="F16" s="1">
        <f>IF(Format!A7=1,C14,IF(Format!A7=2,C15,IF(Format!A7=3,C16,IF(Format!A7=4,C17,IF(Format!A7=5,C118)))))</f>
        <v>900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45866.370071631944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19.228571428571431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3060</v>
      </c>
      <c r="L6" s="241">
        <f>(K6)/$G$79</f>
        <v>0.013359121471219124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8.8071428571428569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5.5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13.200000000000003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11570.625</v>
      </c>
      <c r="L7" s="241">
        <f>(K7)/$G$79</f>
        <v>0.050514178063047317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13.46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3780</v>
      </c>
      <c r="L8" s="241">
        <f>(K8)/$G$79</f>
        <v>0.016502444170329506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19.228571428571431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22.560000000000002</v>
      </c>
      <c r="G9" s="211"/>
      <c r="H9" s="211">
        <f>(H6*B6)+(H8*B8)+(H7*B7)</f>
        <v>409.125</v>
      </c>
      <c r="I9" s="211"/>
      <c r="J9" s="242"/>
      <c r="K9" s="240">
        <f>SUBTOTAL(109,Table1[اجمالي])</f>
        <v>18410.625</v>
      </c>
      <c r="L9" s="244">
        <f>Table1[[#Totals],[اجمالي]]/$G$79</f>
        <v>0.080375743704595951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1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3.3600000000000003</v>
      </c>
      <c r="G13" s="211" t="s">
        <v>43</v>
      </c>
      <c r="H13" s="211">
        <v>101</v>
      </c>
      <c r="I13" s="211">
        <f>Table14[[#This Row],[Column12]]*Table14[[#This Row],[عدد]]</f>
        <v>3.3600000000000003</v>
      </c>
      <c r="J13" s="243">
        <f t="shared" si="0"/>
        <v>4545</v>
      </c>
      <c r="K13" s="240">
        <f t="shared" si="1"/>
        <v>4545</v>
      </c>
      <c r="L13" s="241">
        <f>(K13)/$G$79</f>
        <v>0.019842224538134289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3.3600000000000003</v>
      </c>
      <c r="G14" s="211"/>
      <c r="H14" s="211">
        <f>H12*B12+H13*B13</f>
        <v>101</v>
      </c>
      <c r="I14" s="211"/>
      <c r="J14" s="239"/>
      <c r="K14" s="240">
        <f>SUBTOTAL(109,Table14[اجمالي])</f>
        <v>4545</v>
      </c>
      <c r="L14" s="244">
        <f>Table14[[#Totals],[اجمالي]]/$G$79</f>
        <v>0.019842224538134289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3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1200</v>
      </c>
      <c r="L17" s="241">
        <f ref="L17:L26" t="shared" si="3">(K17)/$G$79</f>
        <v>0.0052388711651839706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0.0032742944782399815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5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550</v>
      </c>
      <c r="L19" s="241">
        <f t="shared" si="3"/>
        <v>0.0024011492840426531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0.00056754437622826351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0.0013097177912959927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0.00039291533738879781</v>
      </c>
    </row>
    <row r="23" ht="21" customHeight="1" s="216" customFormat="1">
      <c r="A23" s="211">
        <v>7</v>
      </c>
      <c r="B23" s="212">
        <f>IF((Sheet2!H3="no"),0,(تسعير!AA10/100))</f>
        <v>6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4200</v>
      </c>
      <c r="L23" s="241">
        <f t="shared" si="3"/>
        <v>0.018336049078143898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0.00017462903883946567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0.015716613495551913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0.0039291533738879782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11760</v>
      </c>
      <c r="L27" s="244">
        <f>Table15[[#Totals],[اجمالي]]/$G$79</f>
        <v>0.051340937418802912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0.00032742944782399817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0.00032742944782399817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0.00054571574637333022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0.0032742944782399815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0.00087314519419732844</v>
      </c>
    </row>
    <row r="40" ht="21" customHeight="1" s="216" customFormat="1">
      <c r="A40" s="211">
        <v>1</v>
      </c>
      <c r="B40" s="222">
        <f>Y7/3</f>
        <v>4.4866666666666672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1794.666666666667</v>
      </c>
      <c r="L40" s="241">
        <f t="shared" si="7"/>
        <v>0.0078350228759306948</v>
      </c>
    </row>
    <row r="41" ht="21" customHeight="1" s="216" customFormat="1">
      <c r="A41" s="211">
        <v>7</v>
      </c>
      <c r="B41" s="222">
        <f>Y6/1.9</f>
        <v>4.6353383458646622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440.35714285714289</v>
      </c>
      <c r="L41" s="241">
        <f t="shared" si="7"/>
        <v>0.0019224786150809036</v>
      </c>
    </row>
    <row r="42" ht="21" customHeight="1" s="216" customFormat="1">
      <c r="A42" s="211">
        <v>8</v>
      </c>
      <c r="B42" s="222">
        <f>Y5</f>
        <v>19.228571428571431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4230.2857142857147</v>
      </c>
      <c r="L42" s="241">
        <f t="shared" si="7"/>
        <v>0.018468268207550924</v>
      </c>
    </row>
    <row r="43" ht="21" customHeight="1" s="216" customFormat="1">
      <c r="A43" s="211">
        <v>9</v>
      </c>
      <c r="B43" s="222">
        <f>Y8</f>
        <v>19.228571428571431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9806.57142857143</v>
      </c>
      <c r="L43" s="241">
        <f t="shared" si="7"/>
        <v>0.042812803572049862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17496.880952380954</v>
      </c>
      <c r="L49" s="244">
        <f>Table13[[#Totals],[اجمالي]]/$G$79</f>
        <v>0.076386587585071025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1540</v>
      </c>
      <c r="L53" s="241">
        <f>(Table1610[[#This Row],[اجمالي]])/$G$79</f>
        <v>0.0067232179953194285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4000</v>
      </c>
      <c r="L54" s="241">
        <f>(Table1610[[#This Row],[اجمالي]])/$G$79</f>
        <v>0.017462903883946567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5540</v>
      </c>
      <c r="L55" s="244">
        <f>Table1610[[#Totals],[اجمالي]]/$G$79</f>
        <v>0.024186121879265998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2199.6544204826318</v>
      </c>
      <c r="I58" s="247"/>
      <c r="J58" s="413">
        <f>IF((Table1611[[#This Row],[عدد]]&gt;0),'Cutting Ro-1'!O8,0)</f>
        <v>118781.33870606212</v>
      </c>
      <c r="K58" s="240">
        <f>B58*Table1611[[#This Row],[سعر البرجولا كاملة]]</f>
        <v>118781.33870606212</v>
      </c>
      <c r="L58" s="241">
        <f>(K58)/$G$79</f>
        <v>0.5185667752576163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118781.33870606212</v>
      </c>
      <c r="K59" s="240">
        <f>B59*Table1611[[#This Row],[سعر البرجولا كاملة]]</f>
        <v>11878.133870606212</v>
      </c>
      <c r="L59" s="241">
        <f>(K59)/$G$79</f>
        <v>0.051856677525761626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130659.47257666833</v>
      </c>
      <c r="L60" s="244">
        <f>Table1611[[#Totals],[اجمالي]]/$G$79</f>
        <v>0.57042345278337792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0.0034925807767893138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0.0026194355825919853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3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5" s="240">
        <f t="shared" si="9"/>
        <v>1800</v>
      </c>
      <c r="L65" s="241">
        <f t="shared" si="10"/>
        <v>0.0078583067477759564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2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6" s="240">
        <f t="shared" si="9"/>
        <v>1200</v>
      </c>
      <c r="L66" s="241">
        <f t="shared" si="10"/>
        <v>0.0052388711651839706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0.017026331286847905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0.012769748465135929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0.017026331286847905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0.028813791408511837</v>
      </c>
    </row>
    <row r="72" ht="18.75">
      <c r="A72" s="211">
        <v>10</v>
      </c>
      <c r="B72" s="212">
        <f>((I67+I68+I69+I70)*2)-2</f>
        <v>16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0.017462903883946567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0.02182862985493321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0.034925807767893134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0.0083821938642943527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40645</v>
      </c>
      <c r="L76" s="527">
        <f>Table1612[[#Totals],[اجمالي]]/$G$79</f>
        <v>0.17744493209075207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229056.97852904926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297774.07208776404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45866.37007164352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45866.370071689817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45866.370071712961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45866.370071770834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45866.370071770834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45866.370071851852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45866.370071851852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600</v>
      </c>
      <c r="D7" s="182" t="s">
        <v>162</v>
      </c>
      <c r="E7" s="183">
        <f>تسعير!X8</f>
        <v>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5</v>
      </c>
    </row>
    <row r="19" ht="18" customHeight="1">
      <c r="A19" s="675" t="s">
        <v>354</v>
      </c>
      <c r="B19" s="676"/>
      <c r="C19" s="14">
        <f>'Format Φωτισμου'!B12</f>
        <v>20</v>
      </c>
    </row>
    <row r="20" ht="18" customHeight="1">
      <c r="A20" s="675" t="s">
        <v>355</v>
      </c>
      <c r="B20" s="676"/>
      <c r="C20" s="14">
        <f>C19/C18</f>
        <v>4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13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13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