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FC5FFCC9-1608-4957-B02A-0F3C58CE35C2}" xr6:coauthVersionLast="47" xr6:coauthVersionMax="47" xr10:uidLastSave="{00000000-0000-0000-0000-000000000000}"/>
  <bookViews>
    <workbookView xWindow="-108" yWindow="-108" windowWidth="23256" windowHeight="1257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Royal!$A$1:$L$85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<sst xmlns="http://schemas.openxmlformats.org/spreadsheetml/2006/main" count="680" uniqueCount="680">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</sst>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</font>
    <font>
      <sz val="16"/>
      <color theme="1"/>
      <name val="Calibri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2" applyFont="1" fillId="0" borderId="0" xfId="0" applyProtection="1" applyAlignment="1">
      <alignment horizontal="center" vertic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81" applyFont="1" fillId="0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3" totalsRowDxfId="3"/>
    <tableColumn id="2" xr3:uid="{00000000-0010-0000-0700-000002000000}" name="عدد" dataDxfId="180" totalsRowDxfId="3"/>
    <tableColumn id="3" xr3:uid="{00000000-0010-0000-0700-000003000000}" name="بيان" totalsRowLabel="Total" dataDxfId="183" totalsRowDxfId="3"/>
    <tableColumn id="11" xr3:uid="{00000000-0010-0000-0700-00000B000000}" name="Column2" dataDxfId="183" totalsRowDxfId="3"/>
    <tableColumn id="10" xr3:uid="{00000000-0010-0000-0700-00000A000000}" name="Column1" dataDxfId="183" totalsRowDxfId="3"/>
    <tableColumn id="12" xr3:uid="{00000000-0010-0000-0700-00000C000000}" name="Column12" dataDxfId="185" totalsRowDxfId="4"/>
    <tableColumn id="4" xr3:uid="{00000000-0010-0000-0700-000004000000}" name="الوحده" dataDxfId="183" totalsRowDxfId="3"/>
    <tableColumn id="5" xr3:uid="{00000000-0010-0000-0700-000005000000}" name="الوزن" dataDxfId="183" totalsRowDxfId="3"/>
    <tableColumn id="6" xr3:uid="{00000000-0010-0000-0700-000006000000}" name="سعر الكيلو" dataDxfId="183" totalsRowDxfId="3"/>
    <tableColumn id="7" xr3:uid="{00000000-0010-0000-0700-000007000000}" name="سعر الشبك " dataDxfId="240" totalsRowDxfId="2">
      <calculatedColumnFormula>Sheet2!B22</calculatedColumnFormula>
    </tableColumn>
    <tableColumn id="8" xr3:uid="{00000000-0010-0000-0700-000008000000}" name="اجمالي" totalsRowFunction="sum" dataDxfId="176" totalsRowDxfId="1">
      <calculatedColumnFormula>B17*J17</calculatedColumnFormula>
    </tableColumn>
    <tableColumn id="9" xr3:uid="{00000000-0010-0000-0700-000009000000}" name="%" totalsRowFunction="custom" totalsRowDxfId="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3" totalsRowDxfId="179"/>
    <tableColumn id="2" xr3:uid="{00000000-0010-0000-6100-000002000000}" name="عدد" dataDxfId="183" totalsRowDxfId="179"/>
    <tableColumn id="3" xr3:uid="{00000000-0010-0000-6100-000003000000}" name="بيان" totalsRowLabel="Total" dataDxfId="183" totalsRowDxfId="179"/>
    <tableColumn id="11" xr3:uid="{00000000-0010-0000-6100-00000B000000}" name="Column2" dataDxfId="183" totalsRowDxfId="179"/>
    <tableColumn id="10" xr3:uid="{00000000-0010-0000-6100-00000A000000}" name="Column1" dataDxfId="183" totalsRowDxfId="179"/>
    <tableColumn id="12" xr3:uid="{00000000-0010-0000-6100-00000C000000}" name="المسطح" totalsRowFunction="sum" dataDxfId="185" totalsRowDxfId="1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3" totalsRowDxfId="179"/>
    <tableColumn id="5" xr3:uid="{00000000-0010-0000-6100-000005000000}" name="الوزن" totalsRowFunction="custom" totalsRowDxfId="179">
      <totalsRowFormula>(BN6*BH6)+(BN7*BG7)+(BN8*BG8)+(BN9*BG9)</totalsRowFormula>
    </tableColumn>
    <tableColumn id="6" xr3:uid="{00000000-0010-0000-6100-000006000000}" name="اجمالي المسطح" totalsRowFunction="sum" dataDxfId="180" totalsRowDxfId="179">
      <calculatedColumnFormula>Table1588090[[#This Row],[المسطح]]*Table1588090[[#This Row],[عدد]]</calculatedColumnFormula>
    </tableColumn>
    <tableColumn id="7" xr3:uid="{00000000-0010-0000-6100-000007000000}" name="سعر الشبك " dataDxfId="178" totalsRowDxfId="177">
      <calculatedColumnFormula>BN6*$S$2/1000</calculatedColumnFormula>
    </tableColumn>
    <tableColumn id="8" xr3:uid="{00000000-0010-0000-6100-000008000000}" name="اجمالي" totalsRowFunction="sum" dataDxfId="176" totalsRowDxfId="175">
      <calculatedColumnFormula>BH6*BP6</calculatedColumnFormula>
    </tableColumn>
    <tableColumn id="9" xr3:uid="{00000000-0010-0000-6100-000009000000}" name="%" totalsRowFunction="custom" totalsRowDxfId="17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164" totalsRowDxfId="172"/>
    <tableColumn id="2" xr3:uid="{00000000-0010-0000-6200-000002000000}" name="عدد" totalsRowFunction="custom" totalsRowDxfId="171">
      <totalsRowFormula>(Table8091[[#Totals],[price]]*1.1)/(BA1*AY1/10000)</totalsRowFormula>
    </tableColumn>
    <tableColumn id="3" xr3:uid="{00000000-0010-0000-6200-000003000000}" name="طول" dataDxfId="164" totalsRowDxfId="163"/>
    <tableColumn id="4" xr3:uid="{00000000-0010-0000-6200-000004000000}" name="Column2" dataDxfId="164" totalsRowDxfId="163"/>
    <tableColumn id="5" xr3:uid="{00000000-0010-0000-6200-000005000000}" name="wt/m" dataDxfId="164" totalsRowDxfId="163"/>
    <tableColumn id="6" xr3:uid="{00000000-0010-0000-6200-000006000000}" name="price" totalsRowFunction="sum" dataDxfId="164" totalsRowDxfId="163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3" totalsRowDxfId="179"/>
    <tableColumn id="2" xr3:uid="{00000000-0010-0000-6300-000002000000}" name="عدد" dataDxfId="180" totalsRowDxfId="17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3" totalsRowDxfId="179"/>
    <tableColumn id="11" xr3:uid="{00000000-0010-0000-6300-00000B000000}" name="Column2" dataDxfId="183" totalsRowDxfId="179"/>
    <tableColumn id="10" xr3:uid="{00000000-0010-0000-6300-00000A000000}" name="Column1" dataDxfId="183" totalsRowDxfId="179"/>
    <tableColumn id="12" xr3:uid="{00000000-0010-0000-6300-00000C000000}" name="Column12" dataDxfId="183" totalsRowDxfId="179"/>
    <tableColumn id="4" xr3:uid="{00000000-0010-0000-6300-000004000000}" name="الوحده" totalsRowLabel="total" dataDxfId="183" totalsRowDxfId="179"/>
    <tableColumn id="5" xr3:uid="{00000000-0010-0000-6300-000005000000}" name="الوزن" dataDxfId="183" totalsRowDxfId="179"/>
    <tableColumn id="6" xr3:uid="{00000000-0010-0000-6300-000006000000}" name="سعر الكيلو" dataDxfId="183" totalsRowDxfId="179"/>
    <tableColumn id="7" xr3:uid="{00000000-0010-0000-6300-000007000000}" name="سعر الشبك " dataDxfId="240" totalsRowDxfId="177">
      <calculatedColumnFormula>BP28</calculatedColumnFormula>
    </tableColumn>
    <tableColumn id="8" xr3:uid="{00000000-0010-0000-6300-000008000000}" name="اجمالي" totalsRowFunction="sum" dataDxfId="176" totalsRowDxfId="175">
      <calculatedColumnFormula>BH98*BP99</calculatedColumnFormula>
    </tableColumn>
    <tableColumn id="9" xr3:uid="{00000000-0010-0000-6300-000009000000}" name="%" totalsRowFunction="custom" totalsRowDxfId="17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3" totalsRowDxfId="179"/>
    <tableColumn id="2" xr3:uid="{00000000-0010-0000-6400-000002000000}" name="عدد" dataDxfId="180" totalsRowDxfId="179">
      <calculatedColumnFormula>IF((#REF!="بالتات"),0,4)</calculatedColumnFormula>
    </tableColumn>
    <tableColumn id="3" xr3:uid="{00000000-0010-0000-6400-000003000000}" name="بيان" totalsRowLabel="Total" dataDxfId="183" totalsRowDxfId="179"/>
    <tableColumn id="11" xr3:uid="{00000000-0010-0000-6400-00000B000000}" name="Column2" dataDxfId="183" totalsRowDxfId="179"/>
    <tableColumn id="10" xr3:uid="{00000000-0010-0000-6400-00000A000000}" name="Column1" dataDxfId="183" totalsRowDxfId="179"/>
    <tableColumn id="12" xr3:uid="{00000000-0010-0000-6400-00000C000000}" name="Column12" dataDxfId="185" totalsRowDxfId="184"/>
    <tableColumn id="4" xr3:uid="{00000000-0010-0000-6400-000004000000}" name="الوحده" dataDxfId="183" totalsRowDxfId="179"/>
    <tableColumn id="5" xr3:uid="{00000000-0010-0000-6400-000005000000}" name="الوزن" dataDxfId="183" totalsRowDxfId="179"/>
    <tableColumn id="6" xr3:uid="{00000000-0010-0000-6400-000006000000}" name="سعر الكيلو" dataDxfId="183" totalsRowDxfId="179"/>
    <tableColumn id="7" xr3:uid="{00000000-0010-0000-6400-000007000000}" name="سعر الشبك " dataDxfId="209" totalsRowDxfId="177">
      <calculatedColumnFormula>Sheet2!AW26</calculatedColumnFormula>
    </tableColumn>
    <tableColumn id="8" xr3:uid="{00000000-0010-0000-6400-000008000000}" name="اجمالي" totalsRowFunction="sum" dataDxfId="176" totalsRowDxfId="175">
      <calculatedColumnFormula>BH84*BP84</calculatedColumnFormula>
    </tableColumn>
    <tableColumn id="9" xr3:uid="{00000000-0010-0000-6400-000009000000}" name="%" totalsRowFunction="custom" totalsRowDxfId="17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3"/>
    <tableColumn id="2" xr3:uid="{00000000-0010-0000-6500-000002000000}" name="عدد" totalsRowFunction="sum" dataDxfId="183">
      <calculatedColumnFormula>BH90*4</calculatedColumnFormula>
    </tableColumn>
    <tableColumn id="3" xr3:uid="{00000000-0010-0000-6500-000003000000}" name="بيان" totalsRowLabel="Total" dataDxfId="183"/>
    <tableColumn id="11" xr3:uid="{00000000-0010-0000-6500-00000B000000}" name="Column2" dataDxfId="183"/>
    <tableColumn id="10" xr3:uid="{00000000-0010-0000-6500-00000A000000}" name="Column1" dataDxfId="183"/>
    <tableColumn id="12" xr3:uid="{00000000-0010-0000-6500-00000C000000}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0"/>
    <tableColumn id="7" xr3:uid="{00000000-0010-0000-6500-000007000000}" name="سعر الشبك " dataDxfId="240">
      <calculatedColumnFormula>BN92*$S$2/1000</calculatedColumnFormula>
    </tableColumn>
    <tableColumn id="8" xr3:uid="{00000000-0010-0000-6500-000008000000}" name="اجمالي" totalsRowFunction="sum" dataDxfId="176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01"/>
    <tableColumn id="2" xr3:uid="{00000000-0010-0000-6600-000002000000}" name="المعدل" dataDxfId="201"/>
    <tableColumn id="3" xr3:uid="{00000000-0010-0000-6600-000003000000}" name="الوحدة" dataDxfId="201"/>
    <tableColumn id="4" xr3:uid="{00000000-0010-0000-6600-000004000000}" name="Column4" dataDxfId="233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01"/>
    <tableColumn id="2" xr3:uid="{00000000-0010-0000-6700-000002000000}" name="Column2" dataDxfId="233"/>
    <tableColumn id="3" xr3:uid="{00000000-0010-0000-6700-000003000000}" name="Column3" dataDxfId="201"/>
    <tableColumn id="4" xr3:uid="{00000000-0010-0000-6700-000004000000}" name="Column4" dataDxfId="201"/>
    <tableColumn id="5" xr3:uid="{00000000-0010-0000-6700-000005000000}" name="Column5" dataDxfId="20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3" totalsRowDxfId="3"/>
    <tableColumn id="2" xr3:uid="{00000000-0010-0000-6800-000002000000}" name="عدد" dataDxfId="196" totalsRowDxfId="3">
      <calculatedColumnFormula>IF((تسعير!$AU$14="بالتات"),0,BH119-2)</calculatedColumnFormula>
    </tableColumn>
    <tableColumn id="3" xr3:uid="{00000000-0010-0000-6800-000003000000}" name="بيان" totalsRowLabel="Total" dataDxfId="226" totalsRowDxfId="3"/>
    <tableColumn id="5" xr3:uid="{00000000-0010-0000-6800-000005000000}" name="اليومية / الاجرة" dataDxfId="226" totalsRowDxfId="3"/>
    <tableColumn id="6" xr3:uid="{00000000-0010-0000-6800-000006000000}" name="بدل الوجبة" dataDxfId="225" totalsRowDxfId="3"/>
    <tableColumn id="11" xr3:uid="{00000000-0010-0000-6800-00000B000000}" name="موقع العمل" dataDxfId="198" totalsRowDxfId="3">
      <calculatedColumnFormula>تسعير!$BE$44</calculatedColumnFormula>
    </tableColumn>
    <tableColumn id="10" xr3:uid="{00000000-0010-0000-6800-00000A000000}" name="شيفت العمل" dataDxfId="183" totalsRowDxfId="3"/>
    <tableColumn id="12" xr3:uid="{00000000-0010-0000-6800-00000C000000}" name="Column12" totalsRowFunction="sum" dataDxfId="185" totalsRowDxfId="4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21" totalsRowDxfId="3"/>
    <tableColumn id="7" xr3:uid="{00000000-0010-0000-6800-000007000000}" name="اجمالي التكلفة للعامل" dataDxfId="220" totalsRowDxfId="2">
      <calculatedColumnFormula>Table1612677697108[[#This Row],[Column12]]</calculatedColumnFormula>
    </tableColumn>
    <tableColumn id="8" xr3:uid="{00000000-0010-0000-6800-000008000000}" name="اجمالي" totalsRowFunction="sum" dataDxfId="176" totalsRowDxfId="1">
      <calculatedColumnFormula>BH122*BP122</calculatedColumnFormula>
    </tableColumn>
    <tableColumn id="9" xr3:uid="{00000000-0010-0000-6800-000009000000}" name="%" totalsRowFunction="custom" totalsRowDxfId="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98"/>
    <tableColumn id="2" xr3:uid="{00000000-0010-0000-6900-000002000000}" name="عدد" dataDxfId="196">
      <calculatedColumnFormula>IF((BL133="الاسكندرية"),0.25,0.1)</calculatedColumnFormula>
    </tableColumn>
    <tableColumn id="3" xr3:uid="{00000000-0010-0000-6900-000003000000}" name="بيان" totalsRowLabel="Total" dataDxfId="198"/>
    <tableColumn id="11" xr3:uid="{00000000-0010-0000-6900-00000B000000}" name="Column2" dataDxfId="198"/>
    <tableColumn id="10" xr3:uid="{00000000-0010-0000-6900-00000A000000}" name="Column1" dataDxfId="198"/>
    <tableColumn id="12" xr3:uid="{00000000-0010-0000-6900-00000C000000}" name="Column12" totalsRowFunction="sum" dataDxfId="213"/>
    <tableColumn id="4" xr3:uid="{00000000-0010-0000-6900-000004000000}" name="الوحده" dataDxfId="212"/>
    <tableColumn id="5" xr3:uid="{00000000-0010-0000-6900-000005000000}" name="الوزن" dataDxfId="198"/>
    <tableColumn id="6" xr3:uid="{00000000-0010-0000-6900-000006000000}" name="سعر الكيلو" dataDxfId="198"/>
    <tableColumn id="7" xr3:uid="{00000000-0010-0000-6900-000007000000}" name="سعر الشبك " dataDxfId="209">
      <calculatedColumnFormula>BQ116</calculatedColumnFormula>
    </tableColumn>
    <tableColumn id="8" xr3:uid="{00000000-0010-0000-6900-000008000000}" name="اجمالي" totalsRowFunction="sum" dataDxfId="176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01"/>
    <tableColumn id="2" xr3:uid="{00000000-0010-0000-6A00-000002000000}" name="خارجي" dataDxfId="201"/>
    <tableColumn id="3" xr3:uid="{00000000-0010-0000-6A00-000003000000}" name="داخلي" dataDxfId="201"/>
    <tableColumn id="4" xr3:uid="{00000000-0010-0000-6A00-000004000000}" name="بدل الوجبة" dataDxfId="201"/>
    <tableColumn id="5" xr3:uid="{00000000-0010-0000-6A00-000005000000}" name="دبابة" dataDxfId="201"/>
    <tableColumn id="6" xr3:uid="{00000000-0010-0000-6A00-000006000000}" name="جامبو" dataDxfId="201"/>
    <tableColumn id="7" xr3:uid="{00000000-0010-0000-6A00-000007000000}" name="الاقامة" dataDxfId="20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3" totalsRowDxfId="179"/>
    <tableColumn id="2" xr3:uid="{00000000-0010-0000-0800-000002000000}" name="عدد" totalsRowFunction="count" dataDxfId="183" totalsRowDxfId="179">
      <calculatedColumnFormula>B29*4</calculatedColumnFormula>
    </tableColumn>
    <tableColumn id="3" xr3:uid="{00000000-0010-0000-0800-000003000000}" name="بيان" totalsRowLabel="Total" dataDxfId="183" totalsRowDxfId="179"/>
    <tableColumn id="11" xr3:uid="{00000000-0010-0000-0800-00000B000000}" name="Column2" dataDxfId="183" totalsRowDxfId="179"/>
    <tableColumn id="10" xr3:uid="{00000000-0010-0000-0800-00000A000000}" name="Column1" dataDxfId="183" totalsRowDxfId="179"/>
    <tableColumn id="12" xr3:uid="{00000000-0010-0000-0800-00000C000000}" name="Column12" totalsRowFunction="sum" dataDxfId="185" totalsRowDxfId="18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3" totalsRowDxfId="179"/>
    <tableColumn id="5" xr3:uid="{00000000-0010-0000-0800-000005000000}" name="الوزن" totalsRowFunction="custom" totalsRowDxfId="179">
      <totalsRowFormula>H30*B30+H31*B31</totalsRowFormula>
    </tableColumn>
    <tableColumn id="6" xr3:uid="{00000000-0010-0000-0800-000006000000}" name="Column3" dataDxfId="180" totalsRowDxfId="179"/>
    <tableColumn id="7" xr3:uid="{00000000-0010-0000-0800-000007000000}" name="سعر الشبك " dataDxfId="240" totalsRowDxfId="177">
      <calculatedColumnFormula>H30*$H$2/1000</calculatedColumnFormula>
    </tableColumn>
    <tableColumn id="8" xr3:uid="{00000000-0010-0000-0800-000008000000}" name="اجمالي" totalsRowFunction="sum" dataDxfId="176" totalsRowDxfId="175">
      <calculatedColumnFormula>B30*J30</calculatedColumnFormula>
    </tableColumn>
    <tableColumn id="9" xr3:uid="{00000000-0010-0000-0800-000009000000}" name="%" totalsRowFunction="custom" totalsRowDxfId="17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98"/>
    <tableColumn id="4" xr3:uid="{00000000-0010-0000-6B00-000004000000}" name="Column22" dataDxfId="198"/>
    <tableColumn id="5" xr3:uid="{00000000-0010-0000-6B00-000005000000}" name="Column23" dataDxfId="198"/>
    <tableColumn id="3" xr3:uid="{00000000-0010-0000-6B00-000003000000}" name="Column3" dataDxfId="19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3" totalsRowDxfId="179"/>
    <tableColumn id="2" xr3:uid="{00000000-0010-0000-6C00-000002000000}" name="عدد" dataDxfId="183" totalsRowDxfId="179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3" totalsRowDxfId="179"/>
    <tableColumn id="11" xr3:uid="{00000000-0010-0000-6C00-00000B000000}" name="Column2" dataDxfId="183" totalsRowDxfId="179"/>
    <tableColumn id="10" xr3:uid="{00000000-0010-0000-6C00-00000A000000}" name="Column1" dataDxfId="183" totalsRowDxfId="179"/>
    <tableColumn id="12" xr3:uid="{00000000-0010-0000-6C00-00000C000000}" name="المسطح" totalsRowFunction="sum" dataDxfId="185" totalsRowDxfId="1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3" totalsRowDxfId="179"/>
    <tableColumn id="5" xr3:uid="{00000000-0010-0000-6C00-000005000000}" name="الوزن" totalsRowFunction="custom" totalsRowDxfId="179">
      <totalsRowFormula>(BN76*BH76)+(BN77*BH77)+(BN78*BH78)+(BN79*BH79)</totalsRowFormula>
    </tableColumn>
    <tableColumn id="6" xr3:uid="{00000000-0010-0000-6C00-000006000000}" name="اجمالي المسطح" totalsRowFunction="sum" dataDxfId="180" totalsRowDxfId="179">
      <calculatedColumnFormula>Table15880101112[[#This Row],[المسطح]]*Table15880101112[[#This Row],[عدد]]</calculatedColumnFormula>
    </tableColumn>
    <tableColumn id="7" xr3:uid="{00000000-0010-0000-6C00-000007000000}" name="سعر الشبك " dataDxfId="178" totalsRowDxfId="177">
      <calculatedColumnFormula>BN76*$S$2/1000</calculatedColumnFormula>
    </tableColumn>
    <tableColumn id="8" xr3:uid="{00000000-0010-0000-6C00-000008000000}" name="اجمالي" totalsRowFunction="sum" dataDxfId="176" totalsRowDxfId="175">
      <calculatedColumnFormula>BH76*BP76</calculatedColumnFormula>
    </tableColumn>
    <tableColumn id="9" xr3:uid="{00000000-0010-0000-6C00-000009000000}" name="%" totalsRowFunction="custom" totalsRowDxfId="17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4" totalsRowDxfId="172"/>
    <tableColumn id="2" xr3:uid="{00000000-0010-0000-6D00-000002000000}" name="عدد" totalsRowFunction="custom" totalsRowDxfId="171">
      <totalsRowFormula>(Table80102113[[#Totals],[price]]*1.1)/(BA72*AY72/10000)</totalsRowFormula>
    </tableColumn>
    <tableColumn id="3" xr3:uid="{00000000-0010-0000-6D00-000003000000}" name="طول" dataDxfId="164" totalsRowDxfId="163"/>
    <tableColumn id="4" xr3:uid="{00000000-0010-0000-6D00-000004000000}" name="Column2" dataDxfId="164" totalsRowDxfId="163"/>
    <tableColumn id="5" xr3:uid="{00000000-0010-0000-6D00-000005000000}" name="wt/m" dataDxfId="164" totalsRowDxfId="163"/>
    <tableColumn id="6" xr3:uid="{00000000-0010-0000-6D00-000006000000}" name="price" totalsRowFunction="sum" dataDxfId="164" totalsRowDxfId="163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7" dataDxfId="134" totalsRowDxfId="145">
  <autoFilter ref="A2:F23" xr:uid="{00000000-0009-0000-0100-000071000000}"/>
  <tableColumns count="6">
    <tableColumn id="1" xr3:uid="{00000000-0010-0000-6E00-000001000000}" name="Column1" totalsRowLabel="Total" dataDxfId="134" totalsRowDxfId="143"/>
    <tableColumn id="2" xr3:uid="{00000000-0010-0000-6E00-000002000000}" name="عدد" totalsRowFunction="custom" dataDxfId="134" totalsRowDxfId="141">
      <totalsRowFormula>(Table80102114[[#Totals],[price]]*1.1)/(F1*D1/10000)</totalsRowFormula>
    </tableColumn>
    <tableColumn id="3" xr3:uid="{00000000-0010-0000-6E00-000003000000}" name="طول" dataDxfId="134" totalsRowDxfId="133"/>
    <tableColumn id="4" xr3:uid="{00000000-0010-0000-6E00-000004000000}" name="Column2" dataDxfId="134" totalsRowDxfId="133"/>
    <tableColumn id="5" xr3:uid="{00000000-0010-0000-6E00-000005000000}" name="wt/m" dataDxfId="134" totalsRowDxfId="133"/>
    <tableColumn id="6" xr3:uid="{00000000-0010-0000-6E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" dataDxfId="134" totalsRowDxfId="145">
  <autoFilter ref="A75:F96" xr:uid="{00000000-0009-0000-0100-000072000000}"/>
  <tableColumns count="6">
    <tableColumn id="1" xr3:uid="{00000000-0010-0000-6F00-000001000000}" name="Column1" totalsRowLabel="Total" dataDxfId="134" totalsRowDxfId="143"/>
    <tableColumn id="2" xr3:uid="{00000000-0010-0000-6F00-000002000000}" name="عدد" totalsRowFunction="custom" dataDxfId="134" totalsRowDxfId="141">
      <totalsRowFormula>(Table80102114115[[#Totals],[price]]*1.1)/(F74*D74/10000)</totalsRowFormula>
    </tableColumn>
    <tableColumn id="3" xr3:uid="{00000000-0010-0000-6F00-000003000000}" name="طول" dataDxfId="134" totalsRowDxfId="133"/>
    <tableColumn id="4" xr3:uid="{00000000-0010-0000-6F00-000004000000}" name="Column2" dataDxfId="134" totalsRowDxfId="133"/>
    <tableColumn id="5" xr3:uid="{00000000-0010-0000-6F00-000005000000}" name="wt/m" dataDxfId="134" totalsRowDxfId="133"/>
    <tableColumn id="6" xr3:uid="{00000000-0010-0000-6F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01"/>
    <tableColumn id="2" xr3:uid="{00000000-0010-0000-0900-000002000000}" name="المعدل" dataDxfId="201"/>
    <tableColumn id="3" xr3:uid="{00000000-0010-0000-0900-000003000000}" name="الوحدة" dataDxfId="201"/>
    <tableColumn id="4" xr3:uid="{00000000-0010-0000-0900-000004000000}" name="Column4" dataDxfId="233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3"/>
    <tableColumn id="2" xr3:uid="{00000000-0010-0000-0A00-000002000000}" name="عدد" dataDxfId="127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98"/>
    <tableColumn id="11" xr3:uid="{00000000-0010-0000-0A00-00000B000000}" name="Column2" dataDxfId="198"/>
    <tableColumn id="10" xr3:uid="{00000000-0010-0000-0A00-00000A000000}" name="Column1" dataDxfId="212"/>
    <tableColumn id="12" xr3:uid="{00000000-0010-0000-0A00-00000C000000}" name="Column12" totalsRowFunction="sum" dataDxfId="1114"/>
    <tableColumn id="4" xr3:uid="{00000000-0010-0000-0A00-000004000000}" name="الوحده" dataDxfId="1113"/>
    <tableColumn id="5" xr3:uid="{00000000-0010-0000-0A00-000005000000}" name="الوزن" dataDxfId="1112"/>
    <tableColumn id="6" xr3:uid="{00000000-0010-0000-0A00-000006000000}" name="سعر الكيلو" dataDxfId="212"/>
    <tableColumn id="7" xr3:uid="{00000000-0010-0000-0A00-000007000000}" name="سعر الشبك " dataDxfId="209">
      <calculatedColumnFormula>Sheet2!B31</calculatedColumnFormula>
    </tableColumn>
    <tableColumn id="8" xr3:uid="{00000000-0010-0000-0A00-000008000000}" name="اجمالي" totalsRowFunction="sum" dataDxfId="176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83" totalsRowDxfId="3"/>
    <tableColumn id="2" xr3:uid="{00000000-0010-0000-0B00-000002000000}" name="عدد" dataDxfId="183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183" totalsRowDxfId="3"/>
    <tableColumn id="12" xr3:uid="{00000000-0010-0000-0B00-00000C000000}" name="Column12" totalsRowFunction="sum" dataDxfId="185" totalsRowDxfId="4"/>
    <tableColumn id="5" xr3:uid="{00000000-0010-0000-0B00-000005000000}" name="Column1" dataDxfId="183" totalsRowDxfId="3"/>
    <tableColumn id="11" xr3:uid="{00000000-0010-0000-0B00-00000B000000}" name="العرض" dataDxfId="198" totalsRowDxfId="3"/>
    <tableColumn id="10" xr3:uid="{00000000-0010-0000-0B00-00000A000000}" name="الامتداد" dataDxfId="180" totalsRowDxfId="3"/>
    <tableColumn id="4" xr3:uid="{00000000-0010-0000-0B00-000004000000}" name="سعر المتر" dataDxfId="212" totalsRowDxfId="3"/>
    <tableColumn id="6" xr3:uid="{00000000-0010-0000-0B00-000006000000}" name="Column2" dataDxfId="225" totalsRowDxfId="3"/>
    <tableColumn id="7" xr3:uid="{00000000-0010-0000-0B00-000007000000}" name="سعر البرجولا كاملة" dataDxfId="240" totalsRowDxfId="2">
      <calculatedColumnFormula>(K57)</calculatedColumnFormula>
    </tableColumn>
    <tableColumn id="8" xr3:uid="{00000000-0010-0000-0B00-000008000000}" name="اجمالي" totalsRowFunction="sum" dataDxfId="176" totalsRowDxfId="1">
      <calculatedColumnFormula>B58*Table1611[[#This Row],[سعر البرجولا كاملة]]</calculatedColumnFormula>
    </tableColumn>
    <tableColumn id="9" xr3:uid="{00000000-0010-0000-0B00-000009000000}" name="%" totalsRowFunction="custom" totalsRowDxfId="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83" totalsRowDxfId="3"/>
    <tableColumn id="2" xr3:uid="{00000000-0010-0000-0C00-000002000000}" name="عدد" dataDxfId="196" totalsRowDxfId="3">
      <calculatedColumnFormula>B61</calculatedColumnFormula>
    </tableColumn>
    <tableColumn id="3" xr3:uid="{00000000-0010-0000-0C00-000003000000}" name="بيان" totalsRowLabel="Total" dataDxfId="226" totalsRowDxfId="3"/>
    <tableColumn id="5" xr3:uid="{00000000-0010-0000-0C00-000005000000}" name="اليومية / الاجرة" dataDxfId="226" totalsRowDxfId="3"/>
    <tableColumn id="6" xr3:uid="{00000000-0010-0000-0C00-000006000000}" name="بدل الوجبة" dataDxfId="225" totalsRowDxfId="3"/>
    <tableColumn id="11" xr3:uid="{00000000-0010-0000-0C00-00000B000000}" name="موقع العمل" dataDxfId="198" totalsRowDxfId="3">
      <calculatedColumnFormula>تسعير!$T$4</calculatedColumnFormula>
    </tableColumn>
    <tableColumn id="10" xr3:uid="{00000000-0010-0000-0C00-00000A000000}" name="شيفت العمل" dataDxfId="183" totalsRowDxfId="3"/>
    <tableColumn id="12" xr3:uid="{00000000-0010-0000-0C00-00000C000000}" name="Column12" totalsRowFunction="sum" dataDxfId="185" totalsRowDxfId="4">
      <calculatedColumnFormula>SUMIF(Table17[Column1],Table1612[[#This Row],[موقع العمل]],$T$2:$T$20)</calculatedColumnFormula>
    </tableColumn>
    <tableColumn id="4" xr3:uid="{00000000-0010-0000-0C00-000004000000}" name="عدد الايام" dataDxfId="221" totalsRowDxfId="3"/>
    <tableColumn id="7" xr3:uid="{00000000-0010-0000-0C00-000007000000}" name="اجمالي التكلفة للعامل" dataDxfId="220" totalsRowDxfId="2">
      <calculatedColumnFormula>Table1612[[#This Row],[Column12]]</calculatedColumnFormula>
    </tableColumn>
    <tableColumn id="8" xr3:uid="{00000000-0010-0000-0C00-000008000000}" name="اجمالي" totalsRowFunction="sum" dataDxfId="176" totalsRowDxfId="1">
      <calculatedColumnFormula>B67*J67</calculatedColumnFormula>
    </tableColumn>
    <tableColumn id="9" xr3:uid="{00000000-0010-0000-0C00-000009000000}" name="%" totalsRowFunction="custom" totalsRowDxfId="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754"/>
    <tableColumn id="2" xr3:uid="{00000000-0010-0000-0D00-000002000000}" name="خارجي" dataDxfId="96"/>
    <tableColumn id="3" xr3:uid="{00000000-0010-0000-0D00-000003000000}" name="داخلي" dataDxfId="96"/>
    <tableColumn id="4" xr3:uid="{00000000-0010-0000-0D00-000004000000}" name="بدل الوجبة" dataDxfId="96"/>
    <tableColumn id="5" xr3:uid="{00000000-0010-0000-0D00-000005000000}" name="دبابة" dataDxfId="96"/>
    <tableColumn id="6" xr3:uid="{00000000-0010-0000-0D00-000006000000}" name="جامبو" dataDxfId="96"/>
    <tableColumn id="7" xr3:uid="{00000000-0010-0000-0D00-000007000000}" name="الاقامة" dataDxfId="9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98"/>
    <tableColumn id="4" xr3:uid="{00000000-0010-0000-0E00-000004000000}" name="Column22" dataDxfId="198"/>
    <tableColumn id="5" xr3:uid="{00000000-0010-0000-0E00-000005000000}" name="Column23" dataDxfId="198"/>
    <tableColumn id="3" xr3:uid="{00000000-0010-0000-0E00-000003000000}" name="Column3" dataDxfId="197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9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3" totalsRowDxfId="179"/>
    <tableColumn id="2" xr3:uid="{00000000-0010-0000-0F00-000002000000}" name="عدد" dataDxfId="183" totalsRowDxfId="179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3" totalsRowDxfId="179"/>
    <tableColumn id="11" xr3:uid="{00000000-0010-0000-0F00-00000B000000}" name="Column2" dataDxfId="183" totalsRowDxfId="179"/>
    <tableColumn id="10" xr3:uid="{00000000-0010-0000-0F00-00000A000000}" name="Column1" dataDxfId="183" totalsRowDxfId="179"/>
    <tableColumn id="12" xr3:uid="{00000000-0010-0000-0F00-00000C000000}" name="المسطح" totalsRowFunction="sum" dataDxfId="185" totalsRowDxfId="18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3" totalsRowDxfId="179"/>
    <tableColumn id="5" xr3:uid="{00000000-0010-0000-0F00-000005000000}" name="الوزن" totalsRowFunction="custom" dataDxfId="183" totalsRowDxfId="179">
      <totalsRowFormula>H9*B9+H8*B8+H7*B7</totalsRowFormula>
    </tableColumn>
    <tableColumn id="6" xr3:uid="{00000000-0010-0000-0F00-000006000000}" name="اجمالي الميزان" totalsRowFunction="sum" dataDxfId="180" totalsRowDxfId="179">
      <calculatedColumnFormula>Table118[[#This Row],[الوزن]]*Table118[[#This Row],[عدد]]</calculatedColumnFormula>
    </tableColumn>
    <tableColumn id="7" xr3:uid="{00000000-0010-0000-0F00-000007000000}" name="سعر الشبك " dataDxfId="240" totalsRowDxfId="177">
      <calculatedColumnFormula>H6*$H$2/1000</calculatedColumnFormula>
    </tableColumn>
    <tableColumn id="8" xr3:uid="{00000000-0010-0000-0F00-000008000000}" name="اجمالي" totalsRowFunction="sum" dataDxfId="176" totalsRowDxfId="175">
      <calculatedColumnFormula>B6*J6</calculatedColumnFormula>
    </tableColumn>
    <tableColumn id="9" xr3:uid="{00000000-0010-0000-0F00-000009000000}" name="%" totalsRowFunction="custom" totalsRowDxfId="17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3" totalsRowDxfId="179"/>
    <tableColumn id="2" xr3:uid="{00000000-0010-0000-1000-000002000000}" name="عدد" dataDxfId="180" totalsRowDxfId="17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3" totalsRowDxfId="179"/>
    <tableColumn id="11" xr3:uid="{00000000-0010-0000-1000-00000B000000}" name="Column2" dataDxfId="183" totalsRowDxfId="179"/>
    <tableColumn id="10" xr3:uid="{00000000-0010-0000-1000-00000A000000}" name="Column1" dataDxfId="183" totalsRowDxfId="179"/>
    <tableColumn id="12" xr3:uid="{00000000-0010-0000-1000-00000C000000}" name="Column12" dataDxfId="183" totalsRowDxfId="179"/>
    <tableColumn id="4" xr3:uid="{00000000-0010-0000-1000-000004000000}" name="الوحده" totalsRowLabel="total" dataDxfId="183" totalsRowDxfId="179"/>
    <tableColumn id="5" xr3:uid="{00000000-0010-0000-1000-000005000000}" name="الوزن" dataDxfId="180" totalsRowDxfId="17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3" totalsRowDxfId="179">
      <calculatedColumnFormula>Sheet2!B7</calculatedColumnFormula>
    </tableColumn>
    <tableColumn id="7" xr3:uid="{00000000-0010-0000-1000-000007000000}" name="سعر الشبك " dataDxfId="240" totalsRowDxfId="177"/>
    <tableColumn id="8" xr3:uid="{00000000-0010-0000-1000-000008000000}" name="اجمالي" totalsRowFunction="sum" dataDxfId="176" totalsRowDxfId="175">
      <calculatedColumnFormula>B36*Table1319[[#This Row],[سعر الكيلو]]</calculatedColumnFormula>
    </tableColumn>
    <tableColumn id="9" xr3:uid="{00000000-0010-0000-1000-000009000000}" name="%" totalsRowFunction="custom" totalsRowDxfId="17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3" totalsRowDxfId="179"/>
    <tableColumn id="2" xr3:uid="{00000000-0010-0000-1100-000002000000}" name="عدد" dataDxfId="183" totalsRowDxfId="179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3" totalsRowDxfId="179"/>
    <tableColumn id="11" xr3:uid="{00000000-0010-0000-1100-00000B000000}" name="Column2" dataDxfId="183" totalsRowDxfId="179"/>
    <tableColumn id="10" xr3:uid="{00000000-0010-0000-1100-00000A000000}" name="Column1" dataDxfId="183" totalsRowDxfId="179"/>
    <tableColumn id="12" xr3:uid="{00000000-0010-0000-1100-00000C000000}" name="Column12" totalsRowFunction="sum" dataDxfId="180" totalsRowDxfId="179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3" totalsRowDxfId="179"/>
    <tableColumn id="5" xr3:uid="{00000000-0010-0000-1100-000005000000}" name="الوزن" totalsRowFunction="custom" dataDxfId="183" totalsRowDxfId="179">
      <totalsRowFormula>H13*B13+H14*B14</totalsRowFormula>
    </tableColumn>
    <tableColumn id="6" xr3:uid="{00000000-0010-0000-1100-000006000000}" name="سعر الكيلو" totalsRowFunction="sum" dataDxfId="180" totalsRowDxfId="179">
      <calculatedColumnFormula>Table1421[[#This Row],[الوزن]]*Table1421[[#This Row],[عدد]]</calculatedColumnFormula>
    </tableColumn>
    <tableColumn id="7" xr3:uid="{00000000-0010-0000-1100-000007000000}" name="سعر الشبك " dataDxfId="240" totalsRowDxfId="1160">
      <calculatedColumnFormula>H13*$I$2/1000</calculatedColumnFormula>
    </tableColumn>
    <tableColumn id="8" xr3:uid="{00000000-0010-0000-1100-000008000000}" name="اجمالي" totalsRowFunction="sum" dataDxfId="176" totalsRowDxfId="175">
      <calculatedColumnFormula>B13*J13</calculatedColumnFormula>
    </tableColumn>
    <tableColumn id="9" xr3:uid="{00000000-0010-0000-1100-000009000000}" name="%" totalsRowFunction="custom" totalsRowDxfId="17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3" totalsRowDxfId="3"/>
    <tableColumn id="2" xr3:uid="{00000000-0010-0000-1200-000002000000}" name="عدد" dataDxfId="180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3" totalsRowDxfId="3"/>
    <tableColumn id="11" xr3:uid="{00000000-0010-0000-1200-00000B000000}" name="Column2" dataDxfId="183" totalsRowDxfId="3"/>
    <tableColumn id="10" xr3:uid="{00000000-0010-0000-1200-00000A000000}" name="Column1" dataDxfId="183" totalsRowDxfId="3"/>
    <tableColumn id="12" xr3:uid="{00000000-0010-0000-1200-00000C000000}" name="Column12" dataDxfId="185" totalsRowDxfId="4"/>
    <tableColumn id="4" xr3:uid="{00000000-0010-0000-1200-000004000000}" name="الوحده" dataDxfId="183" totalsRowDxfId="3"/>
    <tableColumn id="5" xr3:uid="{00000000-0010-0000-1200-000005000000}" name="الوزن" dataDxfId="183" totalsRowDxfId="3"/>
    <tableColumn id="6" xr3:uid="{00000000-0010-0000-1200-000006000000}" name="سعر الكيلو" dataDxfId="183" totalsRowDxfId="3"/>
    <tableColumn id="7" xr3:uid="{00000000-0010-0000-1200-000007000000}" name="سعر الشبك " dataDxfId="240" totalsRowDxfId="2">
      <calculatedColumnFormula>Sheet2!B22</calculatedColumnFormula>
    </tableColumn>
    <tableColumn id="8" xr3:uid="{00000000-0010-0000-1200-000008000000}" name="اجمالي" totalsRowFunction="sum" dataDxfId="176" totalsRowDxfId="1">
      <calculatedColumnFormula>B18*J18</calculatedColumnFormula>
    </tableColumn>
    <tableColumn id="9" xr3:uid="{00000000-0010-0000-1200-000009000000}" name="%" totalsRowFunction="custom" totalsRowDxfId="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3"/>
    <tableColumn id="2" xr3:uid="{00000000-0010-0000-1300-000002000000}" name="عدد" totalsRowFunction="count" dataDxfId="180">
      <calculatedColumnFormula>B30*4</calculatedColumnFormula>
    </tableColumn>
    <tableColumn id="3" xr3:uid="{00000000-0010-0000-1300-000003000000}" name="بيان" totalsRowLabel="Total" dataDxfId="183"/>
    <tableColumn id="11" xr3:uid="{00000000-0010-0000-1300-00000B000000}" name="Column2" dataDxfId="183"/>
    <tableColumn id="10" xr3:uid="{00000000-0010-0000-1300-00000A000000}" name="Column1" dataDxfId="183"/>
    <tableColumn id="12" xr3:uid="{00000000-0010-0000-1300-00000C000000}" name="Column12" totalsRowFunction="sum" dataDxfId="18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0">
      <calculatedColumnFormula>$H$2/1000</calculatedColumnFormula>
    </tableColumn>
    <tableColumn id="7" xr3:uid="{00000000-0010-0000-1300-000007000000}" name="سعر الشبك " dataDxfId="240">
      <calculatedColumnFormula>H31*$H$2/1000</calculatedColumnFormula>
    </tableColumn>
    <tableColumn id="8" xr3:uid="{00000000-0010-0000-1300-000008000000}" name="اجمالي" totalsRowFunction="sum" dataDxfId="176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01"/>
    <tableColumn id="2" xr3:uid="{00000000-0010-0000-1400-000002000000}" name="المعدل" dataDxfId="201"/>
    <tableColumn id="3" xr3:uid="{00000000-0010-0000-1400-000003000000}" name="الوحدة" dataDxfId="201"/>
    <tableColumn id="4" xr3:uid="{00000000-0010-0000-1400-000004000000}" name="Column4" dataDxfId="233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3"/>
    <tableColumn id="2" xr3:uid="{00000000-0010-0000-1500-000002000000}" name="عدد" dataDxfId="111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98"/>
    <tableColumn id="11" xr3:uid="{00000000-0010-0000-1500-00000B000000}" name="Column2" dataDxfId="198"/>
    <tableColumn id="10" xr3:uid="{00000000-0010-0000-1500-00000A000000}" name="Column1" dataDxfId="212"/>
    <tableColumn id="12" xr3:uid="{00000000-0010-0000-1500-00000C000000}" name="Column12" totalsRowFunction="sum" dataDxfId="1114"/>
    <tableColumn id="4" xr3:uid="{00000000-0010-0000-1500-000004000000}" name="الوحده" dataDxfId="1113"/>
    <tableColumn id="5" xr3:uid="{00000000-0010-0000-1500-000005000000}" name="الوزن" dataDxfId="1112"/>
    <tableColumn id="6" xr3:uid="{00000000-0010-0000-1500-000006000000}" name="سعر الكيلو" dataDxfId="212"/>
    <tableColumn id="7" xr3:uid="{00000000-0010-0000-1500-000007000000}" name="سعر الشبك " dataDxfId="209">
      <calculatedColumnFormula>Sheet2!B31</calculatedColumnFormula>
    </tableColumn>
    <tableColumn id="8" xr3:uid="{00000000-0010-0000-1500-000008000000}" name="اجمالي" totalsRowFunction="sum" dataDxfId="176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83" totalsRowDxfId="3"/>
    <tableColumn id="2" xr3:uid="{00000000-0010-0000-1600-000002000000}" name="عدد" dataDxfId="183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183" totalsRowDxfId="3"/>
    <tableColumn id="12" xr3:uid="{00000000-0010-0000-1600-00000C000000}" name="Column12" totalsRowFunction="sum" dataDxfId="185" totalsRowDxfId="4"/>
    <tableColumn id="5" xr3:uid="{00000000-0010-0000-1600-000005000000}" name="Column1" dataDxfId="183" totalsRowDxfId="3"/>
    <tableColumn id="11" xr3:uid="{00000000-0010-0000-1600-00000B000000}" name="العرض" dataDxfId="198" totalsRowDxfId="3"/>
    <tableColumn id="10" xr3:uid="{00000000-0010-0000-1600-00000A000000}" name="الامتداد" dataDxfId="180" totalsRowDxfId="3"/>
    <tableColumn id="4" xr3:uid="{00000000-0010-0000-1600-000004000000}" name="سعر المتر" dataDxfId="212" totalsRowDxfId="3"/>
    <tableColumn id="6" xr3:uid="{00000000-0010-0000-1600-000006000000}" name="Column2" dataDxfId="225" totalsRowDxfId="3"/>
    <tableColumn id="7" xr3:uid="{00000000-0010-0000-1600-000007000000}" name="سعر البرجولا كاملة" dataDxfId="240" totalsRowDxfId="2">
      <calculatedColumnFormula>K58</calculatedColumnFormula>
    </tableColumn>
    <tableColumn id="8" xr3:uid="{00000000-0010-0000-1600-000008000000}" name="اجمالي" totalsRowFunction="sum" dataDxfId="176" totalsRowDxfId="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83" totalsRowDxfId="3"/>
    <tableColumn id="2" xr3:uid="{00000000-0010-0000-1700-000002000000}" name="عدد" dataDxfId="196" totalsRowDxfId="3">
      <calculatedColumnFormula>B66</calculatedColumnFormula>
    </tableColumn>
    <tableColumn id="3" xr3:uid="{00000000-0010-0000-1700-000003000000}" name="بيان" totalsRowLabel="Total" dataDxfId="226" totalsRowDxfId="3"/>
    <tableColumn id="5" xr3:uid="{00000000-0010-0000-1700-000005000000}" name="اليومية / الاجرة" dataDxfId="226" totalsRowDxfId="3"/>
    <tableColumn id="6" xr3:uid="{00000000-0010-0000-1700-000006000000}" name="بدل الوجبة" dataDxfId="225" totalsRowDxfId="3"/>
    <tableColumn id="11" xr3:uid="{00000000-0010-0000-1700-00000B000000}" name="موقع العمل" dataDxfId="198" totalsRowDxfId="3">
      <calculatedColumnFormula>تسعير!$T$24</calculatedColumnFormula>
    </tableColumn>
    <tableColumn id="10" xr3:uid="{00000000-0010-0000-1700-00000A000000}" name="شيفت العمل" dataDxfId="183" totalsRowDxfId="3"/>
    <tableColumn id="12" xr3:uid="{00000000-0010-0000-1700-00000C000000}" name="Column12" totalsRowFunction="sum" dataDxfId="185" totalsRowDxfId="4">
      <calculatedColumnFormula>SUMIF(Table1731[Column1],Table161229[[#This Row],[موقع العمل]],$T$2:$T$26)</calculatedColumnFormula>
    </tableColumn>
    <tableColumn id="4" xr3:uid="{00000000-0010-0000-1700-000004000000}" name="عدد الايام" dataDxfId="221" totalsRowDxfId="3"/>
    <tableColumn id="7" xr3:uid="{00000000-0010-0000-1700-000007000000}" name="اجمالي التكلفة للعامل" dataDxfId="220" totalsRowDxfId="2">
      <calculatedColumnFormula>Table161229[[#This Row],[Column12]]</calculatedColumnFormula>
    </tableColumn>
    <tableColumn id="8" xr3:uid="{00000000-0010-0000-1700-000008000000}" name="اجمالي" totalsRowFunction="sum" dataDxfId="176" totalsRowDxfId="1">
      <calculatedColumnFormula>B69*J69</calculatedColumnFormula>
    </tableColumn>
    <tableColumn id="9" xr3:uid="{00000000-0010-0000-1700-000009000000}" name="%" totalsRowFunction="custom" totalsRowDxfId="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98" totalsRowDxfId="179"/>
    <tableColumn id="2" xr3:uid="{00000000-0010-0000-1800-000002000000}" name="عدد" dataDxfId="196" totalsRowDxfId="179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98" totalsRowDxfId="179"/>
    <tableColumn id="11" xr3:uid="{00000000-0010-0000-1800-00000B000000}" name="Column2" dataDxfId="198" totalsRowDxfId="179"/>
    <tableColumn id="10" xr3:uid="{00000000-0010-0000-1800-00000A000000}" name="Column1" dataDxfId="198" totalsRowDxfId="179"/>
    <tableColumn id="12" xr3:uid="{00000000-0010-0000-1800-00000C000000}" name="Column12" totalsRowFunction="sum" dataDxfId="213" totalsRowDxfId="184"/>
    <tableColumn id="4" xr3:uid="{00000000-0010-0000-1800-000004000000}" name="الوحده" dataDxfId="212" totalsRowDxfId="179"/>
    <tableColumn id="5" xr3:uid="{00000000-0010-0000-1800-000005000000}" name="الوزن" dataDxfId="198" totalsRowDxfId="179"/>
    <tableColumn id="6" xr3:uid="{00000000-0010-0000-1800-000006000000}" name="سعر الكيلو" dataDxfId="198" totalsRowDxfId="179"/>
    <tableColumn id="7" xr3:uid="{00000000-0010-0000-1800-000007000000}" name="سعر الشبك " dataDxfId="209" totalsRowDxfId="177"/>
    <tableColumn id="8" xr3:uid="{00000000-0010-0000-1800-000008000000}" name="اجمالي" totalsRowFunction="sum" dataDxfId="176" totalsRowDxfId="175">
      <calculatedColumnFormula>B65*Table161330[[#This Row],[سعر الشبك ]]</calculatedColumnFormula>
    </tableColumn>
    <tableColumn id="9" xr3:uid="{00000000-0010-0000-1800-000009000000}" name="%" totalsRowFunction="custom" totalsRowDxfId="1052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01"/>
    <tableColumn id="2" xr3:uid="{00000000-0010-0000-1900-000002000000}" name="خارجي" dataDxfId="96"/>
    <tableColumn id="3" xr3:uid="{00000000-0010-0000-1900-000003000000}" name="داخلي" dataDxfId="96"/>
    <tableColumn id="4" xr3:uid="{00000000-0010-0000-1900-000004000000}" name="بدل الوجبة" dataDxfId="96"/>
    <tableColumn id="5" xr3:uid="{00000000-0010-0000-1900-000005000000}" name="دبابة" dataDxfId="96"/>
    <tableColumn id="6" xr3:uid="{00000000-0010-0000-1900-000006000000}" name="جامبو" dataDxfId="96"/>
    <tableColumn id="7" xr3:uid="{00000000-0010-0000-1900-000007000000}" name="الاقامة" dataDxfId="9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98"/>
    <tableColumn id="4" xr3:uid="{00000000-0010-0000-1A00-000004000000}" name="Column22" dataDxfId="198"/>
    <tableColumn id="5" xr3:uid="{00000000-0010-0000-1A00-000005000000}" name="Column23" dataDxfId="198"/>
    <tableColumn id="3" xr3:uid="{00000000-0010-0000-1A00-000003000000}" name="Column3" dataDxfId="197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96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71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754" totalsRowDxfId="893"/>
    <tableColumn id="6" xr3:uid="{00000000-0010-0000-1B00-000006000000}" name="الطول بالمتر" dataDxfId="754" totalsRowDxfId="893"/>
    <tableColumn id="5" xr3:uid="{00000000-0010-0000-1B00-000005000000}" name="وزن المتر " dataDxfId="754" totalsRowDxfId="893"/>
    <tableColumn id="4" xr3:uid="{00000000-0010-0000-1B00-000004000000}" name="سعر الكيلو" dataDxfId="754" totalsRowDxfId="893"/>
    <tableColumn id="3" xr3:uid="{00000000-0010-0000-1B00-000003000000}" name="اجمالي عدد " totalsRowFunction="custom" totalsRowDxfId="893">
      <totalsRowFormula>Table8[[#Totals],[اجمالي التكلفة]]/B1</totalsRowFormula>
    </tableColumn>
    <tableColumn id="2" xr3:uid="{00000000-0010-0000-1B00-000002000000}" name="اجمالي التكلفة" totalsRowFunction="sum" dataDxfId="902" totalsRowDxfId="901">
      <calculatedColumnFormula>B3*D3</calculatedColumnFormula>
    </tableColumn>
    <tableColumn id="9" xr3:uid="{00000000-0010-0000-1B00-000009000000}" name="Column1" dataDxfId="754" totalsRowDxfId="893"/>
    <tableColumn id="10" xr3:uid="{00000000-0010-0000-1B00-00000A000000}" name="Column2" dataDxfId="754" totalsRowDxfId="893"/>
    <tableColumn id="11" xr3:uid="{00000000-0010-0000-1B00-00000B000000}" name="Column3" dataDxfId="754" totalsRowDxfId="893"/>
    <tableColumn id="12" xr3:uid="{00000000-0010-0000-1B00-00000C000000}" name="Column4" dataDxfId="754" totalsRowDxfId="893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3" totalsRowDxfId="179"/>
    <tableColumn id="2" xr3:uid="{00000000-0010-0000-1C00-000002000000}" name="عدد" dataDxfId="180" totalsRowDxfId="179"/>
    <tableColumn id="3" xr3:uid="{00000000-0010-0000-1C00-000003000000}" name="بيان" totalsRowLabel="Total" dataDxfId="183" totalsRowDxfId="179"/>
    <tableColumn id="11" xr3:uid="{00000000-0010-0000-1C00-00000B000000}" name="Column2" dataDxfId="183" totalsRowDxfId="179"/>
    <tableColumn id="10" xr3:uid="{00000000-0010-0000-1C00-00000A000000}" name="Column1" dataDxfId="183" totalsRowDxfId="179"/>
    <tableColumn id="12" xr3:uid="{00000000-0010-0000-1C00-00000C000000}" name="Column12" dataDxfId="183" totalsRowDxfId="179"/>
    <tableColumn id="4" xr3:uid="{00000000-0010-0000-1C00-000004000000}" name="الوحده" totalsRowLabel="total" dataDxfId="183" totalsRowDxfId="179"/>
    <tableColumn id="5" xr3:uid="{00000000-0010-0000-1C00-000005000000}" name="الوزن" dataDxfId="183" totalsRowDxfId="179"/>
    <tableColumn id="6" xr3:uid="{00000000-0010-0000-1C00-000006000000}" name="سعر الكيلو" dataDxfId="183" totalsRowDxfId="179"/>
    <tableColumn id="7" xr3:uid="{00000000-0010-0000-1C00-000007000000}" name="سعر الشبك " dataDxfId="240" totalsRowDxfId="177">
      <calculatedColumnFormula>Sheet2!B2</calculatedColumnFormula>
    </tableColumn>
    <tableColumn id="8" xr3:uid="{00000000-0010-0000-1C00-000008000000}" name="اجمالي" totalsRowFunction="sum" dataDxfId="176" totalsRowDxfId="175">
      <calculatedColumnFormula>M26*U26</calculatedColumnFormula>
    </tableColumn>
    <tableColumn id="9" xr3:uid="{00000000-0010-0000-1C00-000009000000}" name="%" totalsRowFunction="custom" totalsRowDxfId="17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3" totalsRowDxfId="179"/>
    <tableColumn id="2" xr3:uid="{00000000-0010-0000-1D00-000002000000}" name="عدد" dataDxfId="180" totalsRowDxfId="179"/>
    <tableColumn id="3" xr3:uid="{00000000-0010-0000-1D00-000003000000}" name="بيان" totalsRowLabel="Total" dataDxfId="183" totalsRowDxfId="179"/>
    <tableColumn id="11" xr3:uid="{00000000-0010-0000-1D00-00000B000000}" name="Column2" dataDxfId="183" totalsRowDxfId="179"/>
    <tableColumn id="10" xr3:uid="{00000000-0010-0000-1D00-00000A000000}" name="Column1" dataDxfId="183" totalsRowDxfId="179"/>
    <tableColumn id="12" xr3:uid="{00000000-0010-0000-1D00-00000C000000}" name="Column12" dataDxfId="185" totalsRowDxfId="184"/>
    <tableColumn id="4" xr3:uid="{00000000-0010-0000-1D00-000004000000}" name="الوحده" dataDxfId="183" totalsRowDxfId="179"/>
    <tableColumn id="5" xr3:uid="{00000000-0010-0000-1D00-000005000000}" name="الوزن" dataDxfId="183" totalsRowDxfId="179"/>
    <tableColumn id="6" xr3:uid="{00000000-0010-0000-1D00-000006000000}" name="سعر الكيلو" dataDxfId="183" totalsRowDxfId="179"/>
    <tableColumn id="7" xr3:uid="{00000000-0010-0000-1D00-000007000000}" name="سعر الشبك " dataDxfId="240" totalsRowDxfId="177">
      <calculatedColumnFormula>Sheet2!B24</calculatedColumnFormula>
    </tableColumn>
    <tableColumn id="8" xr3:uid="{00000000-0010-0000-1D00-000008000000}" name="اجمالي" totalsRowFunction="sum" dataDxfId="176" totalsRowDxfId="175">
      <calculatedColumnFormula>M11*U11</calculatedColumnFormula>
    </tableColumn>
    <tableColumn id="9" xr3:uid="{00000000-0010-0000-1D00-000009000000}" name="%" totalsRowFunction="custom" totalsRowDxfId="17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3"/>
    <tableColumn id="2" xr3:uid="{00000000-0010-0000-1E00-000002000000}" name="عدد" totalsRowFunction="count" dataDxfId="183">
      <calculatedColumnFormula>M20*4</calculatedColumnFormula>
    </tableColumn>
    <tableColumn id="3" xr3:uid="{00000000-0010-0000-1E00-000003000000}" name="بيان" totalsRowLabel="Total" dataDxfId="183"/>
    <tableColumn id="11" xr3:uid="{00000000-0010-0000-1E00-00000B000000}" name="Column2" dataDxfId="183"/>
    <tableColumn id="10" xr3:uid="{00000000-0010-0000-1E00-00000A000000}" name="Column1" dataDxfId="183"/>
    <tableColumn id="12" xr3:uid="{00000000-0010-0000-1E00-00000C000000}" name="Column12" totalsRowFunction="sum" dataDxfId="18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0"/>
    <tableColumn id="7" xr3:uid="{00000000-0010-0000-1E00-000007000000}" name="سعر الشبك " dataDxfId="240">
      <calculatedColumnFormula>S21*$S$2/1000</calculatedColumnFormula>
    </tableColumn>
    <tableColumn id="8" xr3:uid="{00000000-0010-0000-1E00-000008000000}" name="اجمالي" totalsRowFunction="sum" dataDxfId="176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01"/>
    <tableColumn id="2" xr3:uid="{00000000-0010-0000-1F00-000002000000}" name="المعدل" dataDxfId="201"/>
    <tableColumn id="3" xr3:uid="{00000000-0010-0000-1F00-000003000000}" name="الوحدة" dataDxfId="201"/>
    <tableColumn id="4" xr3:uid="{00000000-0010-0000-1F00-000004000000}" name="Column4" dataDxfId="233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01"/>
    <tableColumn id="2" xr3:uid="{00000000-0010-0000-2000-000002000000}" name="Column2" dataDxfId="233"/>
    <tableColumn id="3" xr3:uid="{00000000-0010-0000-2000-000003000000}" name="Column3" dataDxfId="201"/>
    <tableColumn id="4" xr3:uid="{00000000-0010-0000-2000-000004000000}" name="Column4" dataDxfId="201"/>
    <tableColumn id="5" xr3:uid="{00000000-0010-0000-2000-000005000000}" name="Column5" dataDxfId="201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3" totalsRowDxfId="3"/>
    <tableColumn id="2" xr3:uid="{00000000-0010-0000-2100-000002000000}" name="عدد" dataDxfId="196" totalsRowDxfId="3">
      <calculatedColumnFormula>IF((تسعير!$AU$14="بالتات"),0,M52-2)</calculatedColumnFormula>
    </tableColumn>
    <tableColumn id="3" xr3:uid="{00000000-0010-0000-2100-000003000000}" name="بيان" totalsRowLabel="Total" dataDxfId="226" totalsRowDxfId="3"/>
    <tableColumn id="5" xr3:uid="{00000000-0010-0000-2100-000005000000}" name="اليومية / الاجرة" dataDxfId="226" totalsRowDxfId="3"/>
    <tableColumn id="6" xr3:uid="{00000000-0010-0000-2100-000006000000}" name="بدل الوجبة" dataDxfId="225" totalsRowDxfId="3"/>
    <tableColumn id="11" xr3:uid="{00000000-0010-0000-2100-00000B000000}" name="موقع العمل" dataDxfId="198" totalsRowDxfId="3">
      <calculatedColumnFormula>تسعير!$AT$4</calculatedColumnFormula>
    </tableColumn>
    <tableColumn id="10" xr3:uid="{00000000-0010-0000-2100-00000A000000}" name="شيفت العمل" dataDxfId="183" totalsRowDxfId="3"/>
    <tableColumn id="12" xr3:uid="{00000000-0010-0000-2100-00000C000000}" name="Column12" totalsRowFunction="sum" dataDxfId="185" totalsRowDxfId="4">
      <calculatedColumnFormula>SUMIF(Table1769[Column1],Table161267[[#This Row],[موقع العمل]],$AE$2:$AE$8)</calculatedColumnFormula>
    </tableColumn>
    <tableColumn id="4" xr3:uid="{00000000-0010-0000-2100-000004000000}" name="عدد الايام" dataDxfId="221" totalsRowDxfId="3"/>
    <tableColumn id="7" xr3:uid="{00000000-0010-0000-2100-000007000000}" name="اجمالي التكلفة للعامل" dataDxfId="220" totalsRowDxfId="2">
      <calculatedColumnFormula>Table161267[[#This Row],[Column12]]</calculatedColumnFormula>
    </tableColumn>
    <tableColumn id="8" xr3:uid="{00000000-0010-0000-2100-000008000000}" name="اجمالي" totalsRowFunction="sum" dataDxfId="176" totalsRowDxfId="1">
      <calculatedColumnFormula>M55*U55</calculatedColumnFormula>
    </tableColumn>
    <tableColumn id="9" xr3:uid="{00000000-0010-0000-2100-000009000000}" name="%" totalsRowFunction="custom" totalsRowDxfId="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98"/>
    <tableColumn id="2" xr3:uid="{00000000-0010-0000-2200-000002000000}" name="عدد" dataDxfId="196">
      <calculatedColumnFormula>IF((Q65="الاسكندرية"),0.25,0.1)</calculatedColumnFormula>
    </tableColumn>
    <tableColumn id="3" xr3:uid="{00000000-0010-0000-2200-000003000000}" name="بيان" totalsRowLabel="Total" dataDxfId="198"/>
    <tableColumn id="11" xr3:uid="{00000000-0010-0000-2200-00000B000000}" name="Column2" dataDxfId="198"/>
    <tableColumn id="10" xr3:uid="{00000000-0010-0000-2200-00000A000000}" name="Column1" dataDxfId="198"/>
    <tableColumn id="12" xr3:uid="{00000000-0010-0000-2200-00000C000000}" name="Column12" totalsRowFunction="sum" dataDxfId="213"/>
    <tableColumn id="4" xr3:uid="{00000000-0010-0000-2200-000004000000}" name="الوحده" dataDxfId="212"/>
    <tableColumn id="5" xr3:uid="{00000000-0010-0000-2200-000005000000}" name="الوزن" dataDxfId="198"/>
    <tableColumn id="6" xr3:uid="{00000000-0010-0000-2200-000006000000}" name="سعر الكيلو" dataDxfId="198"/>
    <tableColumn id="7" xr3:uid="{00000000-0010-0000-2200-000007000000}" name="سعر الشبك " dataDxfId="209">
      <calculatedColumnFormula>V48</calculatedColumnFormula>
    </tableColumn>
    <tableColumn id="8" xr3:uid="{00000000-0010-0000-2200-000008000000}" name="اجمالي" totalsRowFunction="sum" dataDxfId="176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01"/>
    <tableColumn id="2" xr3:uid="{00000000-0010-0000-2300-000002000000}" name="خارجي" dataDxfId="201"/>
    <tableColumn id="3" xr3:uid="{00000000-0010-0000-2300-000003000000}" name="داخلي" dataDxfId="201"/>
    <tableColumn id="4" xr3:uid="{00000000-0010-0000-2300-000004000000}" name="بدل الوجبة" dataDxfId="201"/>
    <tableColumn id="5" xr3:uid="{00000000-0010-0000-2300-000005000000}" name="دبابة" dataDxfId="201"/>
    <tableColumn id="6" xr3:uid="{00000000-0010-0000-2300-000006000000}" name="جامبو" dataDxfId="201"/>
    <tableColumn id="7" xr3:uid="{00000000-0010-0000-2300-000007000000}" name="الاقامة" dataDxfId="201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98"/>
    <tableColumn id="4" xr3:uid="{00000000-0010-0000-2400-000004000000}" name="Column22" dataDxfId="198"/>
    <tableColumn id="5" xr3:uid="{00000000-0010-0000-2400-000005000000}" name="Column23" dataDxfId="198"/>
    <tableColumn id="3" xr3:uid="{00000000-0010-0000-24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3"/>
    <tableColumn id="2" xr3:uid="{00000000-0010-0000-2500-000002000000}" name="عدد" dataDxfId="183">
      <calculatedColumnFormula>IF((N2="A1"),2,IF((N2="A2"),3,IF((N2="B1"),2.5,IF((N2="B2"),3,0))))</calculatedColumnFormula>
    </tableColumn>
    <tableColumn id="3" xr3:uid="{00000000-0010-0000-2500-000003000000}" name="بيان" totalsRowLabel="Total" dataDxfId="183"/>
    <tableColumn id="11" xr3:uid="{00000000-0010-0000-2500-00000B000000}" name="Column2" dataDxfId="183"/>
    <tableColumn id="10" xr3:uid="{00000000-0010-0000-2500-00000A000000}" name="Column1" dataDxfId="183"/>
    <tableColumn id="12" xr3:uid="{00000000-0010-0000-2500-00000C000000}" name="المسطح" totalsRowFunction="sum" dataDxfId="18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0">
      <calculatedColumnFormula>Table158[[#This Row],[المسطح]]*Table158[[#This Row],[عدد]]</calculatedColumnFormula>
    </tableColumn>
    <tableColumn id="7" xr3:uid="{00000000-0010-0000-2500-000007000000}" name="سعر الشبك " dataDxfId="178">
      <calculatedColumnFormula>S6*$S$2/1000</calculatedColumnFormula>
    </tableColumn>
    <tableColumn id="8" xr3:uid="{00000000-0010-0000-2500-000008000000}" name="اجمالي" totalsRowFunction="sum" dataDxfId="176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754" totalsRowDxfId="893"/>
    <tableColumn id="6" xr3:uid="{00000000-0010-0000-2600-000006000000}" name="الطول بالمتر" dataDxfId="754" totalsRowDxfId="893"/>
    <tableColumn id="5" xr3:uid="{00000000-0010-0000-2600-000005000000}" name="وزن المتر " dataDxfId="754" totalsRowDxfId="893"/>
    <tableColumn id="4" xr3:uid="{00000000-0010-0000-2600-000004000000}" name="سعر الكيلو" dataDxfId="754" totalsRowDxfId="893"/>
    <tableColumn id="3" xr3:uid="{00000000-0010-0000-2600-000003000000}" name="اجمالي عدد " totalsRowFunction="custom" totalsRowDxfId="893">
      <totalsRowFormula>Table823[[#Totals],[اجمالي التكلفة]]/B1</totalsRowFormula>
    </tableColumn>
    <tableColumn id="2" xr3:uid="{00000000-0010-0000-2600-000002000000}" name="اجمالي التكلفة" totalsRowFunction="sum" dataDxfId="902" totalsRowDxfId="901"/>
    <tableColumn id="9" xr3:uid="{00000000-0010-0000-2600-000009000000}" name="Column1" dataDxfId="754" totalsRowDxfId="893"/>
    <tableColumn id="10" xr3:uid="{00000000-0010-0000-2600-00000A000000}" name="Column2" dataDxfId="754" totalsRowDxfId="893"/>
    <tableColumn id="11" xr3:uid="{00000000-0010-0000-2600-00000B000000}" name="Column3" dataDxfId="754" totalsRowDxfId="893"/>
    <tableColumn id="12" xr3:uid="{00000000-0010-0000-2600-00000C000000}" name="Column4" dataDxfId="754" totalsRowDxfId="893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3" totalsRowDxfId="179"/>
    <tableColumn id="2" xr3:uid="{00000000-0010-0000-2700-000002000000}" name="عدد" dataDxfId="180" totalsRowDxfId="179"/>
    <tableColumn id="3" xr3:uid="{00000000-0010-0000-2700-000003000000}" name="بيان" totalsRowLabel="Total" dataDxfId="183" totalsRowDxfId="179"/>
    <tableColumn id="11" xr3:uid="{00000000-0010-0000-2700-00000B000000}" name="Column2" dataDxfId="183" totalsRowDxfId="179"/>
    <tableColumn id="10" xr3:uid="{00000000-0010-0000-2700-00000A000000}" name="Column1" dataDxfId="183" totalsRowDxfId="179"/>
    <tableColumn id="12" xr3:uid="{00000000-0010-0000-2700-00000C000000}" name="Column12" dataDxfId="183" totalsRowDxfId="179"/>
    <tableColumn id="4" xr3:uid="{00000000-0010-0000-2700-000004000000}" name="الوحده" totalsRowLabel="total" dataDxfId="183" totalsRowDxfId="179"/>
    <tableColumn id="5" xr3:uid="{00000000-0010-0000-2700-000005000000}" name="الوزن" dataDxfId="183" totalsRowDxfId="179"/>
    <tableColumn id="6" xr3:uid="{00000000-0010-0000-2700-000006000000}" name="سعر الكيلو" dataDxfId="183" totalsRowDxfId="179"/>
    <tableColumn id="7" xr3:uid="{00000000-0010-0000-2700-000007000000}" name="سعر الشبك " dataDxfId="240" totalsRowDxfId="177">
      <calculatedColumnFormula>Sheet2!B2</calculatedColumnFormula>
    </tableColumn>
    <tableColumn id="8" xr3:uid="{00000000-0010-0000-2700-000008000000}" name="اجمالي" totalsRowFunction="sum" dataDxfId="176" totalsRowDxfId="175">
      <calculatedColumnFormula>M26*U26</calculatedColumnFormula>
    </tableColumn>
    <tableColumn id="9" xr3:uid="{00000000-0010-0000-2700-000009000000}" name="%" totalsRowFunction="custom" totalsRowDxfId="17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3" totalsRowDxfId="179"/>
    <tableColumn id="2" xr3:uid="{00000000-0010-0000-2800-000002000000}" name="عدد" dataDxfId="180" totalsRowDxfId="179"/>
    <tableColumn id="3" xr3:uid="{00000000-0010-0000-2800-000003000000}" name="بيان" totalsRowLabel="Total" dataDxfId="183" totalsRowDxfId="179"/>
    <tableColumn id="11" xr3:uid="{00000000-0010-0000-2800-00000B000000}" name="Column2" dataDxfId="183" totalsRowDxfId="179"/>
    <tableColumn id="10" xr3:uid="{00000000-0010-0000-2800-00000A000000}" name="Column1" dataDxfId="183" totalsRowDxfId="179"/>
    <tableColumn id="12" xr3:uid="{00000000-0010-0000-2800-00000C000000}" name="Column12" dataDxfId="185" totalsRowDxfId="184"/>
    <tableColumn id="4" xr3:uid="{00000000-0010-0000-2800-000004000000}" name="الوحده" dataDxfId="183" totalsRowDxfId="179"/>
    <tableColumn id="5" xr3:uid="{00000000-0010-0000-2800-000005000000}" name="الوزن" dataDxfId="183" totalsRowDxfId="179"/>
    <tableColumn id="6" xr3:uid="{00000000-0010-0000-2800-000006000000}" name="سعر الكيلو" dataDxfId="183" totalsRowDxfId="179"/>
    <tableColumn id="7" xr3:uid="{00000000-0010-0000-2800-000007000000}" name="سعر الشبك " dataDxfId="240" totalsRowDxfId="177">
      <calculatedColumnFormula>Sheet2!B24</calculatedColumnFormula>
    </tableColumn>
    <tableColumn id="8" xr3:uid="{00000000-0010-0000-2800-000008000000}" name="اجمالي" totalsRowFunction="sum" dataDxfId="176" totalsRowDxfId="175">
      <calculatedColumnFormula>M11*U11</calculatedColumnFormula>
    </tableColumn>
    <tableColumn id="9" xr3:uid="{00000000-0010-0000-2800-000009000000}" name="%" totalsRowFunction="custom" totalsRowDxfId="17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3"/>
    <tableColumn id="2" xr3:uid="{00000000-0010-0000-2900-000002000000}" name="عدد" totalsRowFunction="count" dataDxfId="183">
      <calculatedColumnFormula>M20*4</calculatedColumnFormula>
    </tableColumn>
    <tableColumn id="3" xr3:uid="{00000000-0010-0000-2900-000003000000}" name="بيان" totalsRowLabel="Total" dataDxfId="183"/>
    <tableColumn id="11" xr3:uid="{00000000-0010-0000-2900-00000B000000}" name="Column2" dataDxfId="183"/>
    <tableColumn id="10" xr3:uid="{00000000-0010-0000-2900-00000A000000}" name="Column1" dataDxfId="183"/>
    <tableColumn id="12" xr3:uid="{00000000-0010-0000-2900-00000C000000}" name="Column12" totalsRowFunction="sum" dataDxfId="18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0"/>
    <tableColumn id="7" xr3:uid="{00000000-0010-0000-2900-000007000000}" name="سعر الشبك " dataDxfId="240">
      <calculatedColumnFormula>S21*$S$2/1000</calculatedColumnFormula>
    </tableColumn>
    <tableColumn id="8" xr3:uid="{00000000-0010-0000-2900-000008000000}" name="اجمالي" totalsRowFunction="sum" dataDxfId="176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01"/>
    <tableColumn id="2" xr3:uid="{00000000-0010-0000-2A00-000002000000}" name="المعدل" dataDxfId="201"/>
    <tableColumn id="3" xr3:uid="{00000000-0010-0000-2A00-000003000000}" name="الوحدة" dataDxfId="201"/>
    <tableColumn id="4" xr3:uid="{00000000-0010-0000-2A00-000004000000}" name="Column4" dataDxfId="233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3" totalsRowDxfId="3"/>
    <tableColumn id="2" xr3:uid="{00000000-0010-0000-2B00-000002000000}" name="عدد" dataDxfId="196" totalsRowDxfId="3">
      <calculatedColumnFormula>IF((تسعير!$BF$14="بالتات"),0,M52-2)</calculatedColumnFormula>
    </tableColumn>
    <tableColumn id="3" xr3:uid="{00000000-0010-0000-2B00-000003000000}" name="بيان" totalsRowLabel="Total" dataDxfId="226" totalsRowDxfId="3"/>
    <tableColumn id="5" xr3:uid="{00000000-0010-0000-2B00-000005000000}" name="اليومية / الاجرة" dataDxfId="226" totalsRowDxfId="3"/>
    <tableColumn id="6" xr3:uid="{00000000-0010-0000-2B00-000006000000}" name="بدل الوجبة" dataDxfId="225" totalsRowDxfId="3"/>
    <tableColumn id="11" xr3:uid="{00000000-0010-0000-2B00-00000B000000}" name="موقع العمل" dataDxfId="198" totalsRowDxfId="3">
      <calculatedColumnFormula>تسعير!$BE$4</calculatedColumnFormula>
    </tableColumn>
    <tableColumn id="10" xr3:uid="{00000000-0010-0000-2B00-00000A000000}" name="شيفت العمل" dataDxfId="183" totalsRowDxfId="3"/>
    <tableColumn id="12" xr3:uid="{00000000-0010-0000-2B00-00000C000000}" name="Column12" totalsRowFunction="sum" dataDxfId="185" totalsRowDxfId="4"/>
    <tableColumn id="4" xr3:uid="{00000000-0010-0000-2B00-000004000000}" name="عدد الايام" dataDxfId="221" totalsRowDxfId="3"/>
    <tableColumn id="7" xr3:uid="{00000000-0010-0000-2B00-000007000000}" name="اجمالي التكلفة للعامل" dataDxfId="220" totalsRowDxfId="2">
      <calculatedColumnFormula>Table16126744[[#This Row],[Column12]]</calculatedColumnFormula>
    </tableColumn>
    <tableColumn id="8" xr3:uid="{00000000-0010-0000-2B00-000008000000}" name="اجمالي" totalsRowFunction="sum" dataDxfId="176" totalsRowDxfId="1">
      <calculatedColumnFormula>M55*U55</calculatedColumnFormula>
    </tableColumn>
    <tableColumn id="9" xr3:uid="{00000000-0010-0000-2B00-000009000000}" name="%" totalsRowFunction="custom" totalsRowDxfId="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98"/>
    <tableColumn id="2" xr3:uid="{00000000-0010-0000-2C00-000002000000}" name="عدد" dataDxfId="196">
      <calculatedColumnFormula>IF((Q65="الاسكندرية"),0.25,0.1)</calculatedColumnFormula>
    </tableColumn>
    <tableColumn id="3" xr3:uid="{00000000-0010-0000-2C00-000003000000}" name="بيان" totalsRowLabel="Total" dataDxfId="198"/>
    <tableColumn id="11" xr3:uid="{00000000-0010-0000-2C00-00000B000000}" name="Column2" dataDxfId="198"/>
    <tableColumn id="10" xr3:uid="{00000000-0010-0000-2C00-00000A000000}" name="Column1" dataDxfId="198"/>
    <tableColumn id="12" xr3:uid="{00000000-0010-0000-2C00-00000C000000}" name="Column12" totalsRowFunction="sum" dataDxfId="213"/>
    <tableColumn id="4" xr3:uid="{00000000-0010-0000-2C00-000004000000}" name="الوحده" dataDxfId="212"/>
    <tableColumn id="5" xr3:uid="{00000000-0010-0000-2C00-000005000000}" name="الوزن" dataDxfId="198"/>
    <tableColumn id="6" xr3:uid="{00000000-0010-0000-2C00-000006000000}" name="سعر الكيلو" dataDxfId="198"/>
    <tableColumn id="7" xr3:uid="{00000000-0010-0000-2C00-000007000000}" name="سعر الشبك " dataDxfId="209">
      <calculatedColumnFormula>V48</calculatedColumnFormula>
    </tableColumn>
    <tableColumn id="8" xr3:uid="{00000000-0010-0000-2C00-000008000000}" name="اجمالي" totalsRowFunction="sum" dataDxfId="176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6">
  <autoFilter ref="Y1:AE20" xr:uid="{00000000-0009-0000-0100-00002D000000}"/>
  <tableColumns count="7">
    <tableColumn id="1" xr3:uid="{00000000-0010-0000-2D00-000001000000}" name="Column1" dataDxfId="96"/>
    <tableColumn id="2" xr3:uid="{00000000-0010-0000-2D00-000002000000}" name="خارجي" dataDxfId="96"/>
    <tableColumn id="3" xr3:uid="{00000000-0010-0000-2D00-000003000000}" name="داخلي" dataDxfId="96"/>
    <tableColumn id="4" xr3:uid="{00000000-0010-0000-2D00-000004000000}" name="بدل الوجبة" dataDxfId="96"/>
    <tableColumn id="5" xr3:uid="{00000000-0010-0000-2D00-000005000000}" name="دبابة" dataDxfId="96"/>
    <tableColumn id="6" xr3:uid="{00000000-0010-0000-2D00-000006000000}" name="جامبو" dataDxfId="96"/>
    <tableColumn id="7" xr3:uid="{00000000-0010-0000-2D00-000007000000}" name="الاقامة" dataDxfId="9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98"/>
    <tableColumn id="4" xr3:uid="{00000000-0010-0000-2E00-000004000000}" name="Column22" dataDxfId="198"/>
    <tableColumn id="5" xr3:uid="{00000000-0010-0000-2E00-000005000000}" name="Column23" dataDxfId="198"/>
    <tableColumn id="3" xr3:uid="{00000000-0010-0000-2E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3"/>
    <tableColumn id="2" xr3:uid="{00000000-0010-0000-2F00-000002000000}" name="عدد" dataDxfId="183">
      <calculatedColumnFormula>IF((N2="c1"),3,IF((N2="c2"),4,IF((N2="d1"),4,IF((N2="d2"),5,0))))</calculatedColumnFormula>
    </tableColumn>
    <tableColumn id="3" xr3:uid="{00000000-0010-0000-2F00-000003000000}" name="بيان" totalsRowLabel="Total" dataDxfId="183"/>
    <tableColumn id="11" xr3:uid="{00000000-0010-0000-2F00-00000B000000}" name="Column2" dataDxfId="183"/>
    <tableColumn id="10" xr3:uid="{00000000-0010-0000-2F00-00000A000000}" name="Column1" dataDxfId="183"/>
    <tableColumn id="12" xr3:uid="{00000000-0010-0000-2F00-00000C000000}" name="المسطح" totalsRowFunction="sum" dataDxfId="18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0"/>
    <tableColumn id="7" xr3:uid="{00000000-0010-0000-2F00-000007000000}" name="سعر الشبك " dataDxfId="178">
      <calculatedColumnFormula>S6*$S$2/1000</calculatedColumnFormula>
    </tableColumn>
    <tableColumn id="8" xr3:uid="{00000000-0010-0000-2F00-000008000000}" name="اجمالي" totalsRowFunction="sum" dataDxfId="176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95"/>
    <tableColumn id="2" xr3:uid="{00000000-0010-0000-3000-000002000000}" name="المقاس" dataDxfId="754"/>
    <tableColumn id="4" xr3:uid="{00000000-0010-0000-3000-000004000000}" name="ميزان" dataDxfId="77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69"/>
    <tableColumn id="2" xr3:uid="{00000000-0010-0000-3100-000002000000}" name="Column2" dataDxfId="75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754" totalsRowDxfId="789"/>
    <tableColumn id="2" xr3:uid="{00000000-0010-0000-3200-000002000000}" name="عدد/الشمسية" dataDxfId="765" totalsRowDxfId="785"/>
    <tableColumn id="3" xr3:uid="{00000000-0010-0000-3200-000003000000}" name="سعر الوحدة" dataDxfId="754" totalsRowDxfId="785"/>
    <tableColumn id="4" xr3:uid="{00000000-0010-0000-3200-000004000000}" name="قيمة" totalsRowFunction="sum" dataDxfId="754" totalsRowDxfId="783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754"/>
    <tableColumn id="2" xr3:uid="{00000000-0010-0000-3300-000002000000}" name="امتار عادية" dataDxfId="754"/>
    <tableColumn id="4" xr3:uid="{00000000-0010-0000-3300-000004000000}" name="امتار single" dataDxfId="754"/>
    <tableColumn id="6" xr3:uid="{00000000-0010-0000-3300-000006000000}" name="امتار douple" dataDxfId="75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754"/>
    <tableColumn id="2" xr3:uid="{00000000-0010-0000-3400-000002000000}" name="Column2" dataDxfId="75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72"/>
    <tableColumn id="2" xr3:uid="{00000000-0010-0000-3600-000002000000}" name="الناتج" dataDxfId="773"/>
    <tableColumn id="3" xr3:uid="{00000000-0010-0000-3600-000003000000}" name="Column1" dataDxfId="772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71"/>
    <tableColumn id="4" xr3:uid="{00000000-0010-0000-3700-000004000000}" name="ميزان" dataDxfId="77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769"/>
    <tableColumn id="2" xr3:uid="{00000000-0010-0000-3800-000002000000}" name="Column2" dataDxfId="75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90" totalsRowDxfId="1397"/>
    <tableColumn id="2" xr3:uid="{BFD71D91-82BE-4E36-ABA2-D621CC74A72F}" name="الصنف" dataDxfId="1390" totalsRowDxfId="1393"/>
    <tableColumn id="3" xr3:uid="{FA2200A0-4790-4626-B4EF-26AF375E7D08}" name="الوحده" dataDxfId="1390" totalsRowDxfId="1393"/>
    <tableColumn id="13" xr3:uid="{1B9DE2C2-E66F-49FF-BF0C-4005C087BC2A}" name="متطلبات انتاج الشمسيه 2.5" dataDxfId="1392" totalsRowDxfId="1389"/>
    <tableColumn id="4" xr3:uid="{A25EDD6F-7BF8-4633-A44E-9AA34FABA3E5}" name="متطلبات انتاج الشمسيه 3" dataDxfId="1390" totalsRowDxfId="1389"/>
    <tableColumn id="9" xr3:uid="{F8C4B6ED-C6D0-4793-8425-4DB2E6AEB8C7}" name="حهة التصنيع" dataDxfId="1388" totalsRowDxfId="1387"/>
    <tableColumn id="10" xr3:uid="{07E26081-B66A-4CF4-A6F3-959C28FB1681}" name="سعر" dataDxfId="1386" totalsRowDxfId="1385"/>
    <tableColumn id="11" xr3:uid="{533F2344-E7A1-4D72-BD1C-8B42EA41C0CA}" name="3" totalsRowFunction="sum" dataDxfId="1384" totalsRowDxfId="3">
      <calculatedColumnFormula>U4*S4</calculatedColumnFormula>
    </tableColumn>
    <tableColumn id="12" xr3:uid="{D07D845E-2930-453E-8278-6592A65F5FE9}" name="2.5" totalsRowFunction="sum" dataDxfId="1382" totalsRowDxfId="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754" totalsRowDxfId="184"/>
    <tableColumn id="2" xr3:uid="{00000000-0010-0000-3900-000002000000}" name="عدد/الشمسية" dataDxfId="765" totalsRowDxfId="184"/>
    <tableColumn id="3" xr3:uid="{00000000-0010-0000-3900-000003000000}" name="سعر الوحدة" dataDxfId="754" totalsRowDxfId="184"/>
    <tableColumn id="4" xr3:uid="{00000000-0010-0000-3900-000004000000}" name="قيمة" totalsRowFunction="sum" dataDxfId="754" totalsRowDxfId="184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754"/>
    <tableColumn id="2" xr3:uid="{00000000-0010-0000-3A00-000002000000}" name="امتار عادية" dataDxfId="754"/>
    <tableColumn id="4" xr3:uid="{00000000-0010-0000-3A00-000004000000}" name="امتار single" dataDxfId="754"/>
    <tableColumn id="6" xr3:uid="{00000000-0010-0000-3A00-000006000000}" name="امتار douple" dataDxfId="75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754"/>
    <tableColumn id="2" xr3:uid="{00000000-0010-0000-3B00-000002000000}" name="Column2" dataDxfId="75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749"/>
    <tableColumn id="2" xr3:uid="{00000000-0010-0000-3C00-000002000000}" name="Column2" dataDxfId="749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749"/>
    <tableColumn id="2" xr3:uid="{00000000-0010-0000-3D00-000002000000}" name="الناتج" dataDxfId="750"/>
    <tableColumn id="3" xr3:uid="{00000000-0010-0000-3D00-000003000000}" name="Column1" dataDxfId="749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720" totalsRowDxfId="71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71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71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96" totalsRowDxfId="3">
      <calculatedColumnFormula>I28</calculatedColumnFormula>
    </tableColumn>
    <tableColumn id="3" xr3:uid="{00000000-0010-0000-3F00-000003000000}" name="بيان" totalsRowLabel="Total" dataDxfId="706" totalsRowDxfId="3"/>
    <tableColumn id="5" xr3:uid="{00000000-0010-0000-3F00-000005000000}" name="اليومية / الاجرة" dataDxfId="226" totalsRowDxfId="3"/>
    <tableColumn id="6" xr3:uid="{00000000-0010-0000-3F00-000006000000}" name="بدل الوجبة" dataDxfId="225" totalsRowDxfId="3"/>
    <tableColumn id="11" xr3:uid="{00000000-0010-0000-3F00-00000B000000}" name="موقع العمل" dataDxfId="198" totalsRowDxfId="3">
      <calculatedColumnFormula>تسعير!$T$45</calculatedColumnFormula>
    </tableColumn>
    <tableColumn id="10" xr3:uid="{00000000-0010-0000-3F00-00000A000000}" name="شيفت العمل" dataDxfId="183" totalsRowDxfId="3"/>
    <tableColumn id="12" xr3:uid="{00000000-0010-0000-3F00-00000C000000}" name="Column12" totalsRowFunction="sum" dataDxfId="185" totalsRowDxfId="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21" totalsRowDxfId="3"/>
    <tableColumn id="7" xr3:uid="{00000000-0010-0000-3F00-000007000000}" name="اجمالي التكلفة للعامل" dataDxfId="220" totalsRowDxfId="2">
      <calculatedColumnFormula>Table161243[[#This Row],[Column12]]</calculatedColumnFormula>
    </tableColumn>
    <tableColumn id="8" xr3:uid="{00000000-0010-0000-3F00-000008000000}" name="اجمالي" totalsRowFunction="sum" dataDxfId="176" totalsRowDxfId="1">
      <calculatedColumnFormula>I31*Q31</calculatedColumnFormula>
    </tableColumn>
    <tableColumn id="9" xr3:uid="{00000000-0010-0000-3F00-000009000000}" name="%" totalsRowFunction="custom" totalsRowDxfId="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98"/>
    <tableColumn id="4" xr3:uid="{00000000-0010-0000-4000-000004000000}" name="Column22" dataDxfId="198"/>
    <tableColumn id="5" xr3:uid="{00000000-0010-0000-4000-000005000000}" name="Column23" dataDxfId="198"/>
    <tableColumn id="3" xr3:uid="{00000000-0010-0000-4000-000003000000}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720" totalsRowDxfId="71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71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71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96" totalsRowDxfId="3">
      <calculatedColumnFormula>I61</calculatedColumnFormula>
    </tableColumn>
    <tableColumn id="3" xr3:uid="{00000000-0010-0000-4200-000003000000}" name="بيان" totalsRowLabel="Total" dataDxfId="706" totalsRowDxfId="3"/>
    <tableColumn id="5" xr3:uid="{00000000-0010-0000-4200-000005000000}" name="اليومية / الاجرة" dataDxfId="226" totalsRowDxfId="3"/>
    <tableColumn id="6" xr3:uid="{00000000-0010-0000-4200-000006000000}" name="بدل الوجبة" dataDxfId="225" totalsRowDxfId="3"/>
    <tableColumn id="11" xr3:uid="{00000000-0010-0000-4200-00000B000000}" name="موقع العمل" dataDxfId="198" totalsRowDxfId="3">
      <calculatedColumnFormula>تسعير!$T$63</calculatedColumnFormula>
    </tableColumn>
    <tableColumn id="10" xr3:uid="{00000000-0010-0000-4200-00000A000000}" name="شيفت العمل" dataDxfId="183" totalsRowDxfId="3"/>
    <tableColumn id="12" xr3:uid="{00000000-0010-0000-4200-00000C000000}" name="Column12" totalsRowFunction="sum" dataDxfId="185" totalsRowDxfId="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21" totalsRowDxfId="3"/>
    <tableColumn id="7" xr3:uid="{00000000-0010-0000-4200-000007000000}" name="اجمالي التكلفة للعامل" dataDxfId="220" totalsRowDxfId="2">
      <calculatedColumnFormula>Table16124360[[#This Row],[Column12]]</calculatedColumnFormula>
    </tableColumn>
    <tableColumn id="8" xr3:uid="{00000000-0010-0000-4200-000008000000}" name="اجمالي" totalsRowFunction="sum" dataDxfId="176" totalsRowDxfId="1">
      <calculatedColumnFormula>I64*Q64</calculatedColumnFormula>
    </tableColumn>
    <tableColumn id="9" xr3:uid="{00000000-0010-0000-4200-000009000000}" name="%" totalsRowFunction="custom" totalsRowDxfId="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83" totalsRowDxfId="179"/>
    <tableColumn id="2" xr3:uid="{00000000-0010-0000-0400-000002000000}" name="عدد" dataDxfId="183" totalsRowDxfId="17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83" totalsRowDxfId="179"/>
    <tableColumn id="11" xr3:uid="{00000000-0010-0000-0400-00000B000000}" name="Column2" dataDxfId="183" totalsRowDxfId="179"/>
    <tableColumn id="10" xr3:uid="{00000000-0010-0000-0400-00000A000000}" name="Column1" dataDxfId="183" totalsRowDxfId="179"/>
    <tableColumn id="12" xr3:uid="{00000000-0010-0000-0400-00000C000000}" name="المسطح" totalsRowFunction="sum" dataDxfId="185" totalsRowDxfId="184">
      <calculatedColumnFormula>(Table1[[#This Row],[Column1]]+Table1[[#This Row],[Column2]])*12*Table1[[#This Row],[عدد]]</calculatedColumnFormula>
    </tableColumn>
    <tableColumn id="4" xr3:uid="{00000000-0010-0000-0400-000004000000}" name="الوحده" dataDxfId="183" totalsRowDxfId="179"/>
    <tableColumn id="5" xr3:uid="{00000000-0010-0000-0400-000005000000}" name="الوزن" totalsRowFunction="custom" totalsRowDxfId="179">
      <totalsRowFormula>(H6*B6)+(H8*B8)+(H7*B7)</totalsRowFormula>
    </tableColumn>
    <tableColumn id="6" xr3:uid="{00000000-0010-0000-0400-000006000000}" name="مسطح" dataDxfId="180" totalsRowDxfId="179"/>
    <tableColumn id="7" xr3:uid="{00000000-0010-0000-0400-000007000000}" name="سعر الشبك " dataDxfId="240" totalsRowDxfId="177">
      <calculatedColumnFormula>H6*$H$2/1000</calculatedColumnFormula>
    </tableColumn>
    <tableColumn id="8" xr3:uid="{00000000-0010-0000-0400-000008000000}" name="اجمالي" totalsRowFunction="sum" dataDxfId="176" totalsRowDxfId="175">
      <calculatedColumnFormula>B6*J6</calculatedColumnFormula>
    </tableColumn>
    <tableColumn id="9" xr3:uid="{00000000-0010-0000-0400-000009000000}" name="%" totalsRowFunction="custom" totalsRowDxfId="174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98"/>
    <tableColumn id="4" xr3:uid="{00000000-0010-0000-4300-000004000000}" name="Column22" dataDxfId="198"/>
    <tableColumn id="5" xr3:uid="{00000000-0010-0000-4300-000005000000}" name="Column23" dataDxfId="198"/>
    <tableColumn id="3" xr3:uid="{00000000-0010-0000-4300-000003000000}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3" totalsRowDxfId="179"/>
    <tableColumn id="2" xr3:uid="{00000000-0010-0000-4400-000002000000}" name="عدد" dataDxfId="180" totalsRowDxfId="179"/>
    <tableColumn id="3" xr3:uid="{00000000-0010-0000-4400-000003000000}" name="بيان" totalsRowLabel="Total" dataDxfId="183" totalsRowDxfId="179"/>
    <tableColumn id="11" xr3:uid="{00000000-0010-0000-4400-00000B000000}" name="Column2" dataDxfId="183" totalsRowDxfId="179"/>
    <tableColumn id="10" xr3:uid="{00000000-0010-0000-4400-00000A000000}" name="Column1" dataDxfId="183" totalsRowDxfId="179"/>
    <tableColumn id="12" xr3:uid="{00000000-0010-0000-4400-00000C000000}" name="Column12" dataDxfId="183" totalsRowDxfId="179"/>
    <tableColumn id="4" xr3:uid="{00000000-0010-0000-4400-000004000000}" name="الوحده" totalsRowLabel="total" dataDxfId="183" totalsRowDxfId="179"/>
    <tableColumn id="5" xr3:uid="{00000000-0010-0000-4400-000005000000}" name="الوزن" dataDxfId="183" totalsRowDxfId="179"/>
    <tableColumn id="6" xr3:uid="{00000000-0010-0000-4400-000006000000}" name="سعر الكيلو" dataDxfId="183" totalsRowDxfId="179"/>
    <tableColumn id="7" xr3:uid="{00000000-0010-0000-4400-000007000000}" name="سعر الشبك " dataDxfId="240" totalsRowDxfId="177">
      <calculatedColumnFormula>Sheet2!B6</calculatedColumnFormula>
    </tableColumn>
    <tableColumn id="8" xr3:uid="{00000000-0010-0000-4400-000008000000}" name="اجمالي" totalsRowFunction="sum" dataDxfId="176" totalsRowDxfId="175">
      <calculatedColumnFormula>M28*U28</calculatedColumnFormula>
    </tableColumn>
    <tableColumn id="9" xr3:uid="{00000000-0010-0000-4400-000009000000}" name="%" totalsRowFunction="custom" totalsRowDxfId="17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3" totalsRowDxfId="179"/>
    <tableColumn id="2" xr3:uid="{00000000-0010-0000-4500-000002000000}" name="عدد" dataDxfId="180" totalsRowDxfId="179"/>
    <tableColumn id="3" xr3:uid="{00000000-0010-0000-4500-000003000000}" name="بيان" totalsRowLabel="Total" dataDxfId="183" totalsRowDxfId="179"/>
    <tableColumn id="11" xr3:uid="{00000000-0010-0000-4500-00000B000000}" name="Column2" dataDxfId="183" totalsRowDxfId="179"/>
    <tableColumn id="10" xr3:uid="{00000000-0010-0000-4500-00000A000000}" name="Column1" dataDxfId="183" totalsRowDxfId="179"/>
    <tableColumn id="12" xr3:uid="{00000000-0010-0000-4500-00000C000000}" name="Column12" dataDxfId="185" totalsRowDxfId="184"/>
    <tableColumn id="4" xr3:uid="{00000000-0010-0000-4500-000004000000}" name="الوحده" dataDxfId="183" totalsRowDxfId="179"/>
    <tableColumn id="5" xr3:uid="{00000000-0010-0000-4500-000005000000}" name="الوزن" dataDxfId="183" totalsRowDxfId="179"/>
    <tableColumn id="6" xr3:uid="{00000000-0010-0000-4500-000006000000}" name="سعر الكيلو" dataDxfId="183" totalsRowDxfId="179"/>
    <tableColumn id="7" xr3:uid="{00000000-0010-0000-4500-000007000000}" name="سعر الشبك " dataDxfId="240" totalsRowDxfId="177">
      <calculatedColumnFormula>Sheet2!B26</calculatedColumnFormula>
    </tableColumn>
    <tableColumn id="8" xr3:uid="{00000000-0010-0000-4500-000008000000}" name="اجمالي" totalsRowFunction="sum" dataDxfId="176" totalsRowDxfId="175">
      <calculatedColumnFormula>M14*U14</calculatedColumnFormula>
    </tableColumn>
    <tableColumn id="9" xr3:uid="{00000000-0010-0000-4500-000009000000}" name="%" totalsRowFunction="custom" totalsRowDxfId="17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3"/>
    <tableColumn id="2" xr3:uid="{00000000-0010-0000-4600-000002000000}" name="عدد" totalsRowFunction="count" dataDxfId="183">
      <calculatedColumnFormula>M20*4</calculatedColumnFormula>
    </tableColumn>
    <tableColumn id="3" xr3:uid="{00000000-0010-0000-4600-000003000000}" name="بيان" totalsRowLabel="Total" dataDxfId="183"/>
    <tableColumn id="11" xr3:uid="{00000000-0010-0000-4600-00000B000000}" name="Column2" dataDxfId="183"/>
    <tableColumn id="10" xr3:uid="{00000000-0010-0000-4600-00000A000000}" name="Column1" dataDxfId="183"/>
    <tableColumn id="12" xr3:uid="{00000000-0010-0000-4600-00000C000000}" name="Column12" totalsRowFunction="sum" dataDxfId="18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0"/>
    <tableColumn id="7" xr3:uid="{00000000-0010-0000-4600-000007000000}" name="سعر الشبك " dataDxfId="240">
      <calculatedColumnFormula>S22*$S$2/1000</calculatedColumnFormula>
    </tableColumn>
    <tableColumn id="8" xr3:uid="{00000000-0010-0000-4600-000008000000}" name="اجمالي" totalsRowFunction="sum" dataDxfId="176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01"/>
    <tableColumn id="2" xr3:uid="{00000000-0010-0000-4700-000002000000}" name="المعدل" dataDxfId="201"/>
    <tableColumn id="3" xr3:uid="{00000000-0010-0000-4700-000003000000}" name="الوحدة" dataDxfId="201"/>
    <tableColumn id="4" xr3:uid="{00000000-0010-0000-4700-000004000000}" name="Column4" dataDxfId="233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01"/>
    <tableColumn id="2" xr3:uid="{00000000-0010-0000-4800-000002000000}" name="Column2" dataDxfId="233"/>
    <tableColumn id="3" xr3:uid="{00000000-0010-0000-4800-000003000000}" name="Column3" dataDxfId="201"/>
    <tableColumn id="4" xr3:uid="{00000000-0010-0000-4800-000004000000}" name="Column4" dataDxfId="201"/>
    <tableColumn id="5" xr3:uid="{00000000-0010-0000-4800-000005000000}" name="Column5" dataDxfId="201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3" totalsRowDxfId="3"/>
    <tableColumn id="2" xr3:uid="{00000000-0010-0000-4900-000002000000}" name="عدد" dataDxfId="196" totalsRowDxfId="3">
      <calculatedColumnFormula>IF((تسعير!$AU$14="بالتات"),0,M49-2)</calculatedColumnFormula>
    </tableColumn>
    <tableColumn id="3" xr3:uid="{00000000-0010-0000-4900-000003000000}" name="بيان" totalsRowLabel="Total" dataDxfId="226" totalsRowDxfId="3"/>
    <tableColumn id="5" xr3:uid="{00000000-0010-0000-4900-000005000000}" name="اليومية / الاجرة" dataDxfId="226" totalsRowDxfId="3"/>
    <tableColumn id="6" xr3:uid="{00000000-0010-0000-4900-000006000000}" name="بدل الوجبة" dataDxfId="225" totalsRowDxfId="3"/>
    <tableColumn id="11" xr3:uid="{00000000-0010-0000-4900-00000B000000}" name="موقع العمل" dataDxfId="198" totalsRowDxfId="3">
      <calculatedColumnFormula>تسعير!$AT$24</calculatedColumnFormula>
    </tableColumn>
    <tableColumn id="10" xr3:uid="{00000000-0010-0000-4900-00000A000000}" name="شيفت العمل" dataDxfId="183" totalsRowDxfId="3"/>
    <tableColumn id="12" xr3:uid="{00000000-0010-0000-4900-00000C000000}" name="Column12" totalsRowFunction="sum" dataDxfId="185" totalsRowDxfId="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21" totalsRowDxfId="3"/>
    <tableColumn id="7" xr3:uid="{00000000-0010-0000-4900-000007000000}" name="اجمالي التكلفة للعامل" dataDxfId="220" totalsRowDxfId="2">
      <calculatedColumnFormula>Table16126776[[#This Row],[Column12]]</calculatedColumnFormula>
    </tableColumn>
    <tableColumn id="8" xr3:uid="{00000000-0010-0000-4900-000008000000}" name="اجمالي" totalsRowFunction="sum" dataDxfId="176" totalsRowDxfId="1">
      <calculatedColumnFormula>M52*U52</calculatedColumnFormula>
    </tableColumn>
    <tableColumn id="9" xr3:uid="{00000000-0010-0000-4900-000009000000}" name="%" totalsRowFunction="custom" totalsRowDxfId="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98" totalsRowDxfId="179"/>
    <tableColumn id="2" xr3:uid="{00000000-0010-0000-4A00-000002000000}" name="عدد" dataDxfId="196" totalsRowDxfId="179">
      <calculatedColumnFormula>IF((Q63="الاسكندرية"),0.25,0.1)</calculatedColumnFormula>
    </tableColumn>
    <tableColumn id="3" xr3:uid="{00000000-0010-0000-4A00-000003000000}" name="بيان" totalsRowLabel="Total" dataDxfId="198" totalsRowDxfId="179"/>
    <tableColumn id="11" xr3:uid="{00000000-0010-0000-4A00-00000B000000}" name="Column2" dataDxfId="198" totalsRowDxfId="179"/>
    <tableColumn id="10" xr3:uid="{00000000-0010-0000-4A00-00000A000000}" name="Column1" dataDxfId="198" totalsRowDxfId="179"/>
    <tableColumn id="12" xr3:uid="{00000000-0010-0000-4A00-00000C000000}" name="Column12" totalsRowFunction="sum" dataDxfId="213" totalsRowDxfId="184"/>
    <tableColumn id="4" xr3:uid="{00000000-0010-0000-4A00-000004000000}" name="الوحده" dataDxfId="212" totalsRowDxfId="179"/>
    <tableColumn id="5" xr3:uid="{00000000-0010-0000-4A00-000005000000}" name="الوزن" dataDxfId="198" totalsRowDxfId="179"/>
    <tableColumn id="6" xr3:uid="{00000000-0010-0000-4A00-000006000000}" name="سعر الكيلو" dataDxfId="198" totalsRowDxfId="179"/>
    <tableColumn id="7" xr3:uid="{00000000-0010-0000-4A00-000007000000}" name="سعر الشبك " dataDxfId="209" totalsRowDxfId="177">
      <calculatedColumnFormula>Table80102114[[#Totals],[price]]</calculatedColumnFormula>
    </tableColumn>
    <tableColumn id="8" xr3:uid="{00000000-0010-0000-4A00-000008000000}" name="اجمالي" totalsRowFunction="sum" dataDxfId="176" totalsRowDxfId="175">
      <calculatedColumnFormula>M47*Table16136877[[#This Row],[سعر الشبك ]]</calculatedColumnFormula>
    </tableColumn>
    <tableColumn id="9" xr3:uid="{00000000-0010-0000-4A00-000009000000}" name="%" totalsRowFunction="custom" totalsRowDxfId="17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01"/>
    <tableColumn id="2" xr3:uid="{00000000-0010-0000-4B00-000002000000}" name="خارجي" dataDxfId="201"/>
    <tableColumn id="3" xr3:uid="{00000000-0010-0000-4B00-000003000000}" name="داخلي" dataDxfId="201"/>
    <tableColumn id="4" xr3:uid="{00000000-0010-0000-4B00-000004000000}" name="بدل الوجبة" dataDxfId="201"/>
    <tableColumn id="5" xr3:uid="{00000000-0010-0000-4B00-000005000000}" name="دبابة" dataDxfId="201"/>
    <tableColumn id="6" xr3:uid="{00000000-0010-0000-4B00-000006000000}" name="جامبو" dataDxfId="201"/>
    <tableColumn id="7" xr3:uid="{00000000-0010-0000-4B00-000007000000}" name="الاقامة" dataDxfId="201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98"/>
    <tableColumn id="4" xr3:uid="{00000000-0010-0000-4C00-000004000000}" name="Column22" dataDxfId="198"/>
    <tableColumn id="5" xr3:uid="{00000000-0010-0000-4C00-000005000000}" name="Column23" dataDxfId="198"/>
    <tableColumn id="3" xr3:uid="{00000000-0010-0000-4C00-000003000000}" name="Column3" dataDxfId="197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3" totalsRowDxfId="179"/>
    <tableColumn id="2" xr3:uid="{00000000-0010-0000-0500-000002000000}" name="عدد" dataDxfId="180" totalsRowDxfId="17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" totalsRowDxfId="179"/>
    <tableColumn id="11" xr3:uid="{00000000-0010-0000-0500-00000B000000}" name="Column2" dataDxfId="183" totalsRowDxfId="179"/>
    <tableColumn id="10" xr3:uid="{00000000-0010-0000-0500-00000A000000}" name="Column1" dataDxfId="183" totalsRowDxfId="179"/>
    <tableColumn id="12" xr3:uid="{00000000-0010-0000-0500-00000C000000}" name="Column12" dataDxfId="183" totalsRowDxfId="179"/>
    <tableColumn id="4" xr3:uid="{00000000-0010-0000-0500-000004000000}" name="الوحده" totalsRowLabel="total" dataDxfId="183" totalsRowDxfId="179"/>
    <tableColumn id="5" xr3:uid="{00000000-0010-0000-0500-000005000000}" name="الوزن" dataDxfId="183" totalsRowDxfId="179"/>
    <tableColumn id="6" xr3:uid="{00000000-0010-0000-0500-000006000000}" name="سعر الكيلو" dataDxfId="183" totalsRowDxfId="179"/>
    <tableColumn id="7" xr3:uid="{00000000-0010-0000-0500-000007000000}" name="سعر الشبك " dataDxfId="240" totalsRowDxfId="177">
      <calculatedColumnFormula>Sheet2!B8</calculatedColumnFormula>
    </tableColumn>
    <tableColumn id="8" xr3:uid="{00000000-0010-0000-0500-000008000000}" name="اجمالي" totalsRowFunction="sum" dataDxfId="176" totalsRowDxfId="175">
      <calculatedColumnFormula>B35*J35</calculatedColumnFormula>
    </tableColumn>
    <tableColumn id="9" xr3:uid="{00000000-0010-0000-0500-000009000000}" name="%" totalsRowFunction="custom" totalsRowDxfId="1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3" totalsRowDxfId="179"/>
    <tableColumn id="2" xr3:uid="{00000000-0010-0000-4D00-000002000000}" name="عدد" dataDxfId="183" totalsRowDxfId="179"/>
    <tableColumn id="3" xr3:uid="{00000000-0010-0000-4D00-000003000000}" name="بيان" totalsRowLabel="Total" dataDxfId="183" totalsRowDxfId="179"/>
    <tableColumn id="11" xr3:uid="{00000000-0010-0000-4D00-00000B000000}" name="Column2" dataDxfId="183" totalsRowDxfId="179"/>
    <tableColumn id="10" xr3:uid="{00000000-0010-0000-4D00-00000A000000}" name="Column1" dataDxfId="183" totalsRowDxfId="179"/>
    <tableColumn id="12" xr3:uid="{00000000-0010-0000-4D00-00000C000000}" name="المسطح" totalsRowFunction="sum" dataDxfId="185" totalsRowDxfId="1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3" totalsRowDxfId="179"/>
    <tableColumn id="5" xr3:uid="{00000000-0010-0000-4D00-000005000000}" name="الوزن" totalsRowFunction="custom" totalsRowDxfId="179">
      <totalsRowFormula>(S6*M6)+(S7*M7)+(M8*S8)+(S9*M9)</totalsRowFormula>
    </tableColumn>
    <tableColumn id="6" xr3:uid="{00000000-0010-0000-4D00-000006000000}" name="اجمالي المسطح" totalsRowFunction="sum" dataDxfId="180" totalsRowDxfId="179">
      <calculatedColumnFormula>Table15880[[#This Row],[المسطح]]*Table15880[[#This Row],[عدد]]</calculatedColumnFormula>
    </tableColumn>
    <tableColumn id="7" xr3:uid="{00000000-0010-0000-4D00-000007000000}" name="سعر الشبك " dataDxfId="178" totalsRowDxfId="177">
      <calculatedColumnFormula>S6*$S$2/1000</calculatedColumnFormula>
    </tableColumn>
    <tableColumn id="8" xr3:uid="{00000000-0010-0000-4D00-000008000000}" name="اجمالي" totalsRowFunction="sum" dataDxfId="176" totalsRowDxfId="175">
      <calculatedColumnFormula>M6*U6</calculatedColumnFormula>
    </tableColumn>
    <tableColumn id="9" xr3:uid="{00000000-0010-0000-4D00-000009000000}" name="%" totalsRowFunction="custom" totalsRowDxfId="17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3" totalsRowDxfId="179"/>
    <tableColumn id="2" xr3:uid="{00000000-0010-0000-4E00-000002000000}" name="عدد" dataDxfId="180" totalsRowDxfId="17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3" totalsRowDxfId="179"/>
    <tableColumn id="11" xr3:uid="{00000000-0010-0000-4E00-00000B000000}" name="Column2" dataDxfId="183" totalsRowDxfId="179"/>
    <tableColumn id="10" xr3:uid="{00000000-0010-0000-4E00-00000A000000}" name="Column1" dataDxfId="183" totalsRowDxfId="179"/>
    <tableColumn id="12" xr3:uid="{00000000-0010-0000-4E00-00000C000000}" name="Column12" dataDxfId="183" totalsRowDxfId="179"/>
    <tableColumn id="4" xr3:uid="{00000000-0010-0000-4E00-000004000000}" name="الوحده" totalsRowLabel="total" dataDxfId="183" totalsRowDxfId="179"/>
    <tableColumn id="5" xr3:uid="{00000000-0010-0000-4E00-000005000000}" name="الوزن" dataDxfId="183" totalsRowDxfId="179"/>
    <tableColumn id="6" xr3:uid="{00000000-0010-0000-4E00-000006000000}" name="سعر الكيلو" dataDxfId="183" totalsRowDxfId="179"/>
    <tableColumn id="7" xr3:uid="{00000000-0010-0000-4E00-000007000000}" name="سعر الشبك " dataDxfId="240" totalsRowDxfId="177">
      <calculatedColumnFormula>Sheet2!B6</calculatedColumnFormula>
    </tableColumn>
    <tableColumn id="8" xr3:uid="{00000000-0010-0000-4E00-000008000000}" name="اجمالي" totalsRowFunction="sum" dataDxfId="176" totalsRowDxfId="175">
      <calculatedColumnFormula>M99*U100</calculatedColumnFormula>
    </tableColumn>
    <tableColumn id="9" xr3:uid="{00000000-0010-0000-4E00-000009000000}" name="%" totalsRowFunction="custom" totalsRowDxfId="17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3" totalsRowDxfId="179"/>
    <tableColumn id="2" xr3:uid="{00000000-0010-0000-4F00-000002000000}" name="عدد" dataDxfId="180" totalsRowDxfId="179">
      <calculatedColumnFormula>IF((I70="بالتات"),0,4)</calculatedColumnFormula>
    </tableColumn>
    <tableColumn id="3" xr3:uid="{00000000-0010-0000-4F00-000003000000}" name="بيان" totalsRowLabel="Total" dataDxfId="183" totalsRowDxfId="179"/>
    <tableColumn id="11" xr3:uid="{00000000-0010-0000-4F00-00000B000000}" name="Column2" dataDxfId="183" totalsRowDxfId="179"/>
    <tableColumn id="10" xr3:uid="{00000000-0010-0000-4F00-00000A000000}" name="Column1" dataDxfId="183" totalsRowDxfId="179"/>
    <tableColumn id="12" xr3:uid="{00000000-0010-0000-4F00-00000C000000}" name="Column12" dataDxfId="185" totalsRowDxfId="184"/>
    <tableColumn id="4" xr3:uid="{00000000-0010-0000-4F00-000004000000}" name="الوحده" dataDxfId="183" totalsRowDxfId="179"/>
    <tableColumn id="5" xr3:uid="{00000000-0010-0000-4F00-000005000000}" name="الوزن" dataDxfId="183" totalsRowDxfId="179"/>
    <tableColumn id="6" xr3:uid="{00000000-0010-0000-4F00-000006000000}" name="سعر الكيلو" dataDxfId="183" totalsRowDxfId="179"/>
    <tableColumn id="7" xr3:uid="{00000000-0010-0000-4F00-000007000000}" name="سعر الشبك " dataDxfId="240" totalsRowDxfId="177">
      <calculatedColumnFormula>Sheet2!B26</calculatedColumnFormula>
    </tableColumn>
    <tableColumn id="8" xr3:uid="{00000000-0010-0000-4F00-000008000000}" name="اجمالي" totalsRowFunction="sum" dataDxfId="176" totalsRowDxfId="175">
      <calculatedColumnFormula>M85*U85</calculatedColumnFormula>
    </tableColumn>
    <tableColumn id="9" xr3:uid="{00000000-0010-0000-4F00-000009000000}" name="%" totalsRowFunction="custom" totalsRowDxfId="17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3"/>
    <tableColumn id="2" xr3:uid="{00000000-0010-0000-5000-000002000000}" name="عدد" totalsRowFunction="sum" dataDxfId="183">
      <calculatedColumnFormula>M91*4</calculatedColumnFormula>
    </tableColumn>
    <tableColumn id="3" xr3:uid="{00000000-0010-0000-5000-000003000000}" name="بيان" totalsRowLabel="Total" dataDxfId="183"/>
    <tableColumn id="11" xr3:uid="{00000000-0010-0000-5000-00000B000000}" name="Column2" dataDxfId="183"/>
    <tableColumn id="10" xr3:uid="{00000000-0010-0000-5000-00000A000000}" name="Column1" dataDxfId="183"/>
    <tableColumn id="12" xr3:uid="{00000000-0010-0000-5000-00000C000000}" name="Column12" totalsRowFunction="sum" dataDxfId="18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0"/>
    <tableColumn id="7" xr3:uid="{00000000-0010-0000-5000-000007000000}" name="سعر الشبك " dataDxfId="240">
      <calculatedColumnFormula>S93*$S$2/1000</calculatedColumnFormula>
    </tableColumn>
    <tableColumn id="8" xr3:uid="{00000000-0010-0000-5000-000008000000}" name="اجمالي" totalsRowFunction="sum" dataDxfId="176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01"/>
    <tableColumn id="2" xr3:uid="{00000000-0010-0000-5100-000002000000}" name="المعدل" dataDxfId="201"/>
    <tableColumn id="3" xr3:uid="{00000000-0010-0000-5100-000003000000}" name="الوحدة" dataDxfId="201"/>
    <tableColumn id="4" xr3:uid="{00000000-0010-0000-5100-000004000000}" name="Column4" dataDxfId="233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01"/>
    <tableColumn id="2" xr3:uid="{00000000-0010-0000-5200-000002000000}" name="Column2" dataDxfId="233"/>
    <tableColumn id="3" xr3:uid="{00000000-0010-0000-5200-000003000000}" name="Column3" dataDxfId="201"/>
    <tableColumn id="4" xr3:uid="{00000000-0010-0000-5200-000004000000}" name="Column4" dataDxfId="201"/>
    <tableColumn id="5" xr3:uid="{00000000-0010-0000-5200-000005000000}" name="Column5" dataDxfId="201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3" totalsRowDxfId="3"/>
    <tableColumn id="2" xr3:uid="{00000000-0010-0000-5300-000002000000}" name="عدد" dataDxfId="196" totalsRowDxfId="3">
      <calculatedColumnFormula>IF((تسعير!$AU$14="بالتات"),0,M120-2)</calculatedColumnFormula>
    </tableColumn>
    <tableColumn id="3" xr3:uid="{00000000-0010-0000-5300-000003000000}" name="بيان" totalsRowLabel="Total" dataDxfId="226" totalsRowDxfId="3"/>
    <tableColumn id="5" xr3:uid="{00000000-0010-0000-5300-000005000000}" name="اليومية / الاجرة" dataDxfId="226" totalsRowDxfId="3"/>
    <tableColumn id="6" xr3:uid="{00000000-0010-0000-5300-000006000000}" name="بدل الوجبة" dataDxfId="225" totalsRowDxfId="3"/>
    <tableColumn id="11" xr3:uid="{00000000-0010-0000-5300-00000B000000}" name="موقع العمل" dataDxfId="198" totalsRowDxfId="3">
      <calculatedColumnFormula>تسعير!$AT$44</calculatedColumnFormula>
    </tableColumn>
    <tableColumn id="10" xr3:uid="{00000000-0010-0000-5300-00000A000000}" name="شيفت العمل" dataDxfId="183" totalsRowDxfId="3"/>
    <tableColumn id="12" xr3:uid="{00000000-0010-0000-5300-00000C000000}" name="Column12" totalsRowFunction="sum" dataDxfId="185" totalsRowDxfId="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21" totalsRowDxfId="3"/>
    <tableColumn id="7" xr3:uid="{00000000-0010-0000-5300-000007000000}" name="اجمالي التكلفة للعامل" dataDxfId="220" totalsRowDxfId="2">
      <calculatedColumnFormula>Table1612677697[[#This Row],[Column12]]</calculatedColumnFormula>
    </tableColumn>
    <tableColumn id="8" xr3:uid="{00000000-0010-0000-5300-000008000000}" name="اجمالي" totalsRowFunction="sum" dataDxfId="176" totalsRowDxfId="1">
      <calculatedColumnFormula>M123*U123</calculatedColumnFormula>
    </tableColumn>
    <tableColumn id="9" xr3:uid="{00000000-0010-0000-5300-000009000000}" name="%" totalsRowFunction="custom" totalsRowDxfId="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98" totalsRowDxfId="179"/>
    <tableColumn id="2" xr3:uid="{00000000-0010-0000-5400-000002000000}" name="عدد" dataDxfId="196" totalsRowDxfId="179">
      <calculatedColumnFormula>IF((Q134="الاسكندرية"),0.25,0.1)</calculatedColumnFormula>
    </tableColumn>
    <tableColumn id="3" xr3:uid="{00000000-0010-0000-5400-000003000000}" name="بيان" totalsRowLabel="Total" dataDxfId="198" totalsRowDxfId="179"/>
    <tableColumn id="11" xr3:uid="{00000000-0010-0000-5400-00000B000000}" name="Column2" dataDxfId="198" totalsRowDxfId="179"/>
    <tableColumn id="10" xr3:uid="{00000000-0010-0000-5400-00000A000000}" name="Column1" dataDxfId="198" totalsRowDxfId="179"/>
    <tableColumn id="12" xr3:uid="{00000000-0010-0000-5400-00000C000000}" name="Column12" totalsRowFunction="sum" dataDxfId="213" totalsRowDxfId="184"/>
    <tableColumn id="4" xr3:uid="{00000000-0010-0000-5400-000004000000}" name="الوحده" dataDxfId="212" totalsRowDxfId="179"/>
    <tableColumn id="5" xr3:uid="{00000000-0010-0000-5400-000005000000}" name="الوزن" dataDxfId="198" totalsRowDxfId="179"/>
    <tableColumn id="6" xr3:uid="{00000000-0010-0000-5400-000006000000}" name="سعر الكيلو" dataDxfId="198" totalsRowDxfId="179"/>
    <tableColumn id="7" xr3:uid="{00000000-0010-0000-5400-000007000000}" name="سعر الشبك " dataDxfId="209" totalsRowDxfId="177">
      <calculatedColumnFormula>F96</calculatedColumnFormula>
    </tableColumn>
    <tableColumn id="8" xr3:uid="{00000000-0010-0000-5400-000008000000}" name="اجمالي" totalsRowFunction="sum" dataDxfId="176" totalsRowDxfId="175">
      <calculatedColumnFormula>M118*Table1613687798[[#This Row],[سعر الشبك ]]</calculatedColumnFormula>
    </tableColumn>
    <tableColumn id="9" xr3:uid="{00000000-0010-0000-5400-000009000000}" name="%" totalsRowFunction="custom" totalsRowDxfId="17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01"/>
    <tableColumn id="2" xr3:uid="{00000000-0010-0000-5500-000002000000}" name="خارجي" dataDxfId="201"/>
    <tableColumn id="3" xr3:uid="{00000000-0010-0000-5500-000003000000}" name="داخلي" dataDxfId="201"/>
    <tableColumn id="4" xr3:uid="{00000000-0010-0000-5500-000004000000}" name="بدل الوجبة" dataDxfId="201"/>
    <tableColumn id="5" xr3:uid="{00000000-0010-0000-5500-000005000000}" name="دبابة" dataDxfId="201"/>
    <tableColumn id="6" xr3:uid="{00000000-0010-0000-5500-000006000000}" name="جامبو" dataDxfId="201"/>
    <tableColumn id="7" xr3:uid="{00000000-0010-0000-5500-000007000000}" name="الاقامة" dataDxfId="201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98"/>
    <tableColumn id="4" xr3:uid="{00000000-0010-0000-5600-000004000000}" name="Column22" dataDxfId="198"/>
    <tableColumn id="5" xr3:uid="{00000000-0010-0000-5600-000005000000}" name="Column23" dataDxfId="198"/>
    <tableColumn id="3" xr3:uid="{00000000-0010-0000-5600-000003000000}" name="Column3" dataDxfId="197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3"/>
    <tableColumn id="2" xr3:uid="{00000000-0010-0000-0600-000002000000}" name="عدد" dataDxfId="1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3"/>
    <tableColumn id="11" xr3:uid="{00000000-0010-0000-0600-00000B000000}" name="Column2" dataDxfId="183"/>
    <tableColumn id="10" xr3:uid="{00000000-0010-0000-0600-00000A000000}" name="Column1" dataDxfId="183"/>
    <tableColumn id="12" xr3:uid="{00000000-0010-0000-0600-00000C000000}" name="Column12" totalsRowFunction="sum" dataDxfId="180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0">
      <calculatedColumnFormula>Table14[[#This Row],[Column12]]*Table14[[#This Row],[عدد]]</calculatedColumnFormula>
    </tableColumn>
    <tableColumn id="7" xr3:uid="{00000000-0010-0000-0600-000007000000}" name="سعر الشبك " dataDxfId="240">
      <calculatedColumnFormula>H12*$I$2/1000</calculatedColumnFormula>
    </tableColumn>
    <tableColumn id="8" xr3:uid="{00000000-0010-0000-0600-000008000000}" name="اجمالي" totalsRowFunction="sum" dataDxfId="176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3" totalsRowDxfId="179"/>
    <tableColumn id="2" xr3:uid="{00000000-0010-0000-5700-000002000000}" name="عدد" dataDxfId="183" totalsRowDxfId="179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3" totalsRowDxfId="179"/>
    <tableColumn id="11" xr3:uid="{00000000-0010-0000-5700-00000B000000}" name="Column2" dataDxfId="183" totalsRowDxfId="179"/>
    <tableColumn id="10" xr3:uid="{00000000-0010-0000-5700-00000A000000}" name="Column1" dataDxfId="183" totalsRowDxfId="179"/>
    <tableColumn id="12" xr3:uid="{00000000-0010-0000-5700-00000C000000}" name="المسطح" totalsRowFunction="sum" dataDxfId="185" totalsRowDxfId="1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3" totalsRowDxfId="179"/>
    <tableColumn id="5" xr3:uid="{00000000-0010-0000-5700-000005000000}" name="الوزن" totalsRowFunction="custom" totalsRowDxfId="179">
      <totalsRowFormula>(S77*M77)+(S78*M78)+(M79*S79)+(S80*M80)</totalsRowFormula>
    </tableColumn>
    <tableColumn id="6" xr3:uid="{00000000-0010-0000-5700-000006000000}" name="اجمالي المسطح" totalsRowFunction="sum" dataDxfId="180" totalsRowDxfId="179">
      <calculatedColumnFormula>Table15880101[[#This Row],[المسطح]]*Table15880101[[#This Row],[عدد]]</calculatedColumnFormula>
    </tableColumn>
    <tableColumn id="7" xr3:uid="{00000000-0010-0000-5700-000007000000}" name="سعر الشبك " dataDxfId="178" totalsRowDxfId="177">
      <calculatedColumnFormula>S77*$S$2/1000</calculatedColumnFormula>
    </tableColumn>
    <tableColumn id="8" xr3:uid="{00000000-0010-0000-5700-000008000000}" name="اجمالي" totalsRowFunction="sum" dataDxfId="176" totalsRowDxfId="175">
      <calculatedColumnFormula>M77*U77</calculatedColumnFormula>
    </tableColumn>
    <tableColumn id="9" xr3:uid="{00000000-0010-0000-5700-000009000000}" name="%" totalsRowFunction="custom" totalsRowDxfId="17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3" totalsRowDxfId="179"/>
    <tableColumn id="2" xr3:uid="{00000000-0010-0000-5800-000002000000}" name="عدد" dataDxfId="180" totalsRowDxfId="179"/>
    <tableColumn id="3" xr3:uid="{00000000-0010-0000-5800-000003000000}" name="بيان" totalsRowLabel="Total" dataDxfId="183" totalsRowDxfId="179"/>
    <tableColumn id="11" xr3:uid="{00000000-0010-0000-5800-00000B000000}" name="Column2" dataDxfId="183" totalsRowDxfId="179"/>
    <tableColumn id="10" xr3:uid="{00000000-0010-0000-5800-00000A000000}" name="Column1" dataDxfId="183" totalsRowDxfId="179"/>
    <tableColumn id="12" xr3:uid="{00000000-0010-0000-5800-00000C000000}" name="Column12" dataDxfId="183" totalsRowDxfId="179"/>
    <tableColumn id="4" xr3:uid="{00000000-0010-0000-5800-000004000000}" name="الوحده" totalsRowLabel="total" dataDxfId="183" totalsRowDxfId="179"/>
    <tableColumn id="5" xr3:uid="{00000000-0010-0000-5800-000005000000}" name="الوزن" dataDxfId="183" totalsRowDxfId="179"/>
    <tableColumn id="6" xr3:uid="{00000000-0010-0000-5800-000006000000}" name="سعر الكيلو" dataDxfId="183" totalsRowDxfId="179"/>
    <tableColumn id="7" xr3:uid="{00000000-0010-0000-5800-000007000000}" name="سعر الشبك " dataDxfId="240" totalsRowDxfId="177">
      <calculatedColumnFormula>Sheet2!AW6</calculatedColumnFormula>
    </tableColumn>
    <tableColumn id="8" xr3:uid="{00000000-0010-0000-5800-000008000000}" name="اجمالي" totalsRowFunction="sum" dataDxfId="176" totalsRowDxfId="175">
      <calculatedColumnFormula>BH28*BP28</calculatedColumnFormula>
    </tableColumn>
    <tableColumn id="9" xr3:uid="{00000000-0010-0000-5800-000009000000}" name="%" totalsRowFunction="custom" totalsRowDxfId="17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3" totalsRowDxfId="179"/>
    <tableColumn id="2" xr3:uid="{00000000-0010-0000-5900-000002000000}" name="عدد" dataDxfId="180" totalsRowDxfId="179"/>
    <tableColumn id="3" xr3:uid="{00000000-0010-0000-5900-000003000000}" name="بيان" totalsRowLabel="Total" dataDxfId="183" totalsRowDxfId="179"/>
    <tableColumn id="11" xr3:uid="{00000000-0010-0000-5900-00000B000000}" name="Column2" dataDxfId="183" totalsRowDxfId="179"/>
    <tableColumn id="10" xr3:uid="{00000000-0010-0000-5900-00000A000000}" name="Column1" dataDxfId="183" totalsRowDxfId="179"/>
    <tableColumn id="12" xr3:uid="{00000000-0010-0000-5900-00000C000000}" name="Column12" dataDxfId="185" totalsRowDxfId="184"/>
    <tableColumn id="4" xr3:uid="{00000000-0010-0000-5900-000004000000}" name="الوحده" dataDxfId="183" totalsRowDxfId="179"/>
    <tableColumn id="5" xr3:uid="{00000000-0010-0000-5900-000005000000}" name="الوزن" dataDxfId="183" totalsRowDxfId="179"/>
    <tableColumn id="6" xr3:uid="{00000000-0010-0000-5900-000006000000}" name="سعر الكيلو" dataDxfId="183" totalsRowDxfId="179"/>
    <tableColumn id="7" xr3:uid="{00000000-0010-0000-5900-000007000000}" name="سعر الشبك " dataDxfId="240" totalsRowDxfId="177">
      <calculatedColumnFormula>Sheet2!AW26</calculatedColumnFormula>
    </tableColumn>
    <tableColumn id="8" xr3:uid="{00000000-0010-0000-5900-000008000000}" name="اجمالي" totalsRowFunction="sum" dataDxfId="176" totalsRowDxfId="175">
      <calculatedColumnFormula>BH14*BP14</calculatedColumnFormula>
    </tableColumn>
    <tableColumn id="9" xr3:uid="{00000000-0010-0000-5900-000009000000}" name="%" totalsRowFunction="custom" totalsRowDxfId="17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3"/>
    <tableColumn id="2" xr3:uid="{00000000-0010-0000-5A00-000002000000}" name="عدد" totalsRowFunction="count" dataDxfId="183">
      <calculatedColumnFormula>BH20*4</calculatedColumnFormula>
    </tableColumn>
    <tableColumn id="3" xr3:uid="{00000000-0010-0000-5A00-000003000000}" name="بيان" totalsRowLabel="Total" dataDxfId="183"/>
    <tableColumn id="11" xr3:uid="{00000000-0010-0000-5A00-00000B000000}" name="Column2" dataDxfId="183"/>
    <tableColumn id="10" xr3:uid="{00000000-0010-0000-5A00-00000A000000}" name="Column1" dataDxfId="183"/>
    <tableColumn id="12" xr3:uid="{00000000-0010-0000-5A00-00000C000000}" name="Column12" totalsRowFunction="sum" dataDxfId="18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0"/>
    <tableColumn id="7" xr3:uid="{00000000-0010-0000-5A00-000007000000}" name="سعر الشبك " dataDxfId="240">
      <calculatedColumnFormula>BN22*$S$2/1000</calculatedColumnFormula>
    </tableColumn>
    <tableColumn id="8" xr3:uid="{00000000-0010-0000-5A00-000008000000}" name="اجمالي" totalsRowFunction="sum" dataDxfId="176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01"/>
    <tableColumn id="2" xr3:uid="{00000000-0010-0000-5B00-000002000000}" name="المعدل" dataDxfId="201"/>
    <tableColumn id="3" xr3:uid="{00000000-0010-0000-5B00-000003000000}" name="الوحدة" dataDxfId="201"/>
    <tableColumn id="4" xr3:uid="{00000000-0010-0000-5B00-000004000000}" name="Column4" dataDxfId="233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01"/>
    <tableColumn id="2" xr3:uid="{00000000-0010-0000-5C00-000002000000}" name="Column2" dataDxfId="233"/>
    <tableColumn id="3" xr3:uid="{00000000-0010-0000-5C00-000003000000}" name="Column3" dataDxfId="201"/>
    <tableColumn id="4" xr3:uid="{00000000-0010-0000-5C00-000004000000}" name="Column4" dataDxfId="201"/>
    <tableColumn id="5" xr3:uid="{00000000-0010-0000-5C00-000005000000}" name="Column5" dataDxfId="20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3" totalsRowDxfId="3"/>
    <tableColumn id="2" xr3:uid="{00000000-0010-0000-5D00-000002000000}" name="عدد" dataDxfId="196" totalsRowDxfId="3">
      <calculatedColumnFormula>IF((تسعير!$AU$14="بالتات"),0,BH48-2)</calculatedColumnFormula>
    </tableColumn>
    <tableColumn id="3" xr3:uid="{00000000-0010-0000-5D00-000003000000}" name="بيان" totalsRowLabel="Total" dataDxfId="226" totalsRowDxfId="3"/>
    <tableColumn id="5" xr3:uid="{00000000-0010-0000-5D00-000005000000}" name="اليومية / الاجرة" dataDxfId="226" totalsRowDxfId="3"/>
    <tableColumn id="6" xr3:uid="{00000000-0010-0000-5D00-000006000000}" name="بدل الوجبة" dataDxfId="225" totalsRowDxfId="3"/>
    <tableColumn id="11" xr3:uid="{00000000-0010-0000-5D00-00000B000000}" name="موقع العمل" dataDxfId="198" totalsRowDxfId="3">
      <calculatedColumnFormula>تسعير!$AT$44</calculatedColumnFormula>
    </tableColumn>
    <tableColumn id="10" xr3:uid="{00000000-0010-0000-5D00-00000A000000}" name="شيفت العمل" dataDxfId="183" totalsRowDxfId="3"/>
    <tableColumn id="12" xr3:uid="{00000000-0010-0000-5D00-00000C000000}" name="Column12" totalsRowFunction="sum" dataDxfId="185" totalsRowDxfId="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21" totalsRowDxfId="3"/>
    <tableColumn id="7" xr3:uid="{00000000-0010-0000-5D00-000007000000}" name="اجمالي التكلفة للعامل" dataDxfId="220" totalsRowDxfId="2">
      <calculatedColumnFormula>Table1612677686[[#This Row],[Column12]]</calculatedColumnFormula>
    </tableColumn>
    <tableColumn id="8" xr3:uid="{00000000-0010-0000-5D00-000008000000}" name="اجمالي" totalsRowFunction="sum" dataDxfId="176" totalsRowDxfId="1">
      <calculatedColumnFormula>BH51*BP51</calculatedColumnFormula>
    </tableColumn>
    <tableColumn id="9" xr3:uid="{00000000-0010-0000-5D00-000009000000}" name="%" totalsRowFunction="custom" totalsRowDxfId="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98"/>
    <tableColumn id="2" xr3:uid="{00000000-0010-0000-5E00-000002000000}" name="عدد" dataDxfId="196">
      <calculatedColumnFormula>IF((BL62="الاسكندرية"),0.25,0.1)</calculatedColumnFormula>
    </tableColumn>
    <tableColumn id="3" xr3:uid="{00000000-0010-0000-5E00-000003000000}" name="بيان" totalsRowLabel="Total" dataDxfId="198"/>
    <tableColumn id="11" xr3:uid="{00000000-0010-0000-5E00-00000B000000}" name="Column2" dataDxfId="198"/>
    <tableColumn id="10" xr3:uid="{00000000-0010-0000-5E00-00000A000000}" name="Column1" dataDxfId="198"/>
    <tableColumn id="12" xr3:uid="{00000000-0010-0000-5E00-00000C000000}" name="Column12" totalsRowFunction="sum" dataDxfId="213"/>
    <tableColumn id="4" xr3:uid="{00000000-0010-0000-5E00-000004000000}" name="الوحده" dataDxfId="212"/>
    <tableColumn id="5" xr3:uid="{00000000-0010-0000-5E00-000005000000}" name="الوزن" dataDxfId="198"/>
    <tableColumn id="6" xr3:uid="{00000000-0010-0000-5E00-000006000000}" name="سعر الكيلو" dataDxfId="198"/>
    <tableColumn id="7" xr3:uid="{00000000-0010-0000-5E00-000007000000}" name="سعر الشبك " dataDxfId="209">
      <calculatedColumnFormula>BQ45</calculatedColumnFormula>
    </tableColumn>
    <tableColumn id="8" xr3:uid="{00000000-0010-0000-5E00-000008000000}" name="اجمالي" totalsRowFunction="sum" dataDxfId="176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01"/>
    <tableColumn id="2" xr3:uid="{00000000-0010-0000-5F00-000002000000}" name="خارجي" dataDxfId="201"/>
    <tableColumn id="3" xr3:uid="{00000000-0010-0000-5F00-000003000000}" name="داخلي" dataDxfId="201"/>
    <tableColumn id="4" xr3:uid="{00000000-0010-0000-5F00-000004000000}" name="بدل الوجبة" dataDxfId="201"/>
    <tableColumn id="5" xr3:uid="{00000000-0010-0000-5F00-000005000000}" name="دبابة" dataDxfId="201"/>
    <tableColumn id="6" xr3:uid="{00000000-0010-0000-5F00-000006000000}" name="جامبو" dataDxfId="201"/>
    <tableColumn id="7" xr3:uid="{00000000-0010-0000-5F00-000007000000}" name="الاقامة" dataDxfId="20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98"/>
    <tableColumn id="4" xr3:uid="{00000000-0010-0000-6000-000004000000}" name="Column22" dataDxfId="198"/>
    <tableColumn id="5" xr3:uid="{00000000-0010-0000-6000-000005000000}" name="Column23" dataDxfId="198"/>
    <tableColumn id="3" xr3:uid="{00000000-0010-0000-6000-000003000000}" name="Column3" dataDxfId="197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opLeftCell="A41" zoomScale="115" zoomScaleNormal="115" zoomScaleSheetLayoutView="70" workbookViewId="0">
      <selection activeCell="B61" sqref="B61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15740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51522.5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40000</v>
      </c>
    </row>
    <row r="13">
      <c r="A13" s="233" t="s">
        <v>620</v>
      </c>
      <c r="B13" s="233">
        <v>45000</v>
      </c>
    </row>
    <row r="14">
      <c r="A14" s="233" t="s">
        <v>15</v>
      </c>
      <c r="B14" s="233">
        <v>200000</v>
      </c>
    </row>
    <row r="15">
      <c r="A15" s="233" t="s">
        <v>621</v>
      </c>
      <c r="B15" s="233">
        <v>65000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1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Φωτισμου'!B9</f>
        <v>3</v>
      </c>
    </row>
    <row r="19" ht="18" customHeight="1">
      <c r="A19" s="699" t="s">
        <v>436</v>
      </c>
      <c r="B19" s="700"/>
      <c r="C19" s="14">
        <f>'Format Φωτισμου'!B12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A6" zoomScale="70" zoomScaleNormal="70" workbookViewId="0">
      <selection activeCell="S16" sqref="S16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IF(تسعير!T6="سادة",Royal!J2+20000,IF(تسعير!T6="خشبي",Royal!J2+40000,0))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تسجيل1!C7</f>
        <v>400</v>
      </c>
      <c r="L6" s="811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3457.9055193732347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55326.488309971755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οδηγου'!F8</f>
        <v>365</v>
      </c>
      <c r="J11" s="795"/>
      <c r="K11" s="106"/>
      <c r="L11" s="796">
        <f>IF(تسعير!T10=Sheet2!A3,2,IF(Format!A7=1,تسجيل1!H27,IF(Format!A7=2,تسجيل1!H27,IF(Format!A7=3,تسجيل1!H27,IF(Format!A7=4,تسجيل1!H27,IF(Format!A7=5,تسجيل1!H27,"-------"))))))</f>
        <v>2</v>
      </c>
      <c r="M11" s="796"/>
      <c r="N11" s="796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IF(تسعير!T10=Sheet2!A3,0,(G12+G13)/2)</f>
        <v>0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IF(Format!E7=1,"-------",IF(Format!E7=5,"-------",تسجيل1!H30))</f>
        <v>2</v>
      </c>
      <c r="M21" s="763" t="str">
        <f>IF(L21="-------","-------",تسجيل1!D11)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19205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55326.488309971755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2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 (2)'!B9</f>
        <v>3</v>
      </c>
    </row>
    <row r="19" ht="18" customHeight="1">
      <c r="A19" s="699" t="s">
        <v>436</v>
      </c>
      <c r="B19" s="700"/>
      <c r="C19" s="14">
        <f>'Format Φωτισμου (2)'!B12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517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IF(تسعير!T26="سادة",Royal2!J2+20000,IF(تسعير!T26="خشبي",Royal2!J2+40000,0))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تسجيل2!C7</f>
        <v>400</v>
      </c>
      <c r="L6" s="811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3464.1555193732347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55426.488309971755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 (2)'!F8</f>
        <v>365</v>
      </c>
      <c r="J11" s="795"/>
      <c r="K11" s="106"/>
      <c r="L11" s="790">
        <f>IF((تسعير!T31=Sheet2!A6),2,IF(Format!A7=1,تسجيل2!H27,IF(Format!A7=2,تسجيل2!H27,IF(Format!A7=3,تسجيل2!H27,IF(Format!A7=4,تسجيل2!H27,IF(Format!A7=5,تسجيل2!H27,"-------"))))))</f>
        <v>2</v>
      </c>
      <c r="M11" s="790"/>
      <c r="N11" s="790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(G12+G13)/2</f>
        <v>1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1452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IF(Format!E7=1,"-------",IF(Format!E7=5,"-------",تسجيل2!H30))</f>
        <v>2</v>
      </c>
      <c r="M21" s="763" t="str">
        <f>IF(L21="-------","-------",تسجيل2!D11)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19305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55426.488309971755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abSelected="1" topLeftCell="AB1" zoomScale="40" zoomScaleNormal="40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62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75"/>
      <c r="BG1" s="675"/>
      <c r="BH1" s="675"/>
      <c r="BI1" s="675"/>
      <c r="BJ1" s="675"/>
      <c r="BK1" s="675"/>
      <c r="BL1" s="675"/>
      <c r="BM1" s="675"/>
      <c r="BN1" s="675"/>
    </row>
    <row r="2" ht="45" customHeight="1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62"/>
      <c r="S2" s="410" t="s">
        <v>646</v>
      </c>
      <c r="T2" s="411">
        <f>IF((V14="ok"),Royal!G84,"R")</f>
        <v>181413.72352135484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31" t="s">
        <v>646</v>
      </c>
      <c r="AG2" s="67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74"/>
      <c r="AI2" s="414"/>
      <c r="AJ2" s="414"/>
      <c r="AK2" s="414"/>
      <c r="AR2" s="406"/>
      <c r="AS2" s="464" t="s">
        <v>646</v>
      </c>
      <c r="AT2" s="465">
        <f>IF((AV14="OK"),wavy1!R72,"R")</f>
        <v>104968.93333333333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147534.34366666668</v>
      </c>
      <c r="BF2" s="675"/>
      <c r="BG2" s="675"/>
      <c r="BH2" s="675"/>
      <c r="BI2" s="675"/>
      <c r="BJ2" s="675"/>
      <c r="BK2" s="675"/>
      <c r="BL2" s="675"/>
      <c r="BM2" s="675"/>
      <c r="BN2" s="675"/>
    </row>
    <row r="3" ht="54.75" customHeight="1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62"/>
      <c r="S3" s="517" t="s">
        <v>215</v>
      </c>
      <c r="T3" s="413">
        <f>T2/(AA10*X8)*10000</f>
        <v>11338.357720084678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31"/>
      <c r="AG3" s="674"/>
      <c r="AH3" s="674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8397.514666666666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4215.266961904762</v>
      </c>
      <c r="BF3" s="675"/>
      <c r="BG3" s="675"/>
      <c r="BH3" s="675"/>
      <c r="BI3" s="675"/>
      <c r="BJ3" s="675"/>
      <c r="BK3" s="675"/>
      <c r="BL3" s="675"/>
      <c r="BM3" s="675"/>
      <c r="BN3" s="675"/>
    </row>
    <row r="4" ht="55.5" customHeight="1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62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31"/>
      <c r="AG4" s="674"/>
      <c r="AH4" s="674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76"/>
      <c r="BG4" s="677"/>
      <c r="BH4" s="677"/>
      <c r="BI4" s="677"/>
      <c r="BJ4" s="677"/>
      <c r="BK4" s="677"/>
      <c r="BL4" s="677"/>
      <c r="BM4" s="677"/>
      <c r="BN4" s="673"/>
    </row>
    <row r="5" ht="55.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62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76"/>
      <c r="BG5" s="677"/>
      <c r="BH5" s="677"/>
      <c r="BI5" s="677"/>
      <c r="BJ5" s="677"/>
      <c r="BK5" s="677"/>
      <c r="BL5" s="677"/>
      <c r="BM5" s="677"/>
      <c r="BN5" s="673"/>
      <c r="BT5" s="0">
        <v>0</v>
      </c>
    </row>
    <row r="6" ht="55.5" customHeight="1">
      <c r="A6" s="640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62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3" t="s">
        <v>653</v>
      </c>
      <c r="AP6" s="634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73"/>
    </row>
    <row r="7" ht="18.75" customHeight="1">
      <c r="A7" s="640"/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6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73"/>
    </row>
    <row r="8" ht="55.5" customHeight="1">
      <c r="A8" s="407"/>
      <c r="B8" s="644"/>
      <c r="C8" s="644"/>
      <c r="D8" s="644"/>
      <c r="E8" s="407"/>
      <c r="F8" s="646"/>
      <c r="G8" s="646"/>
      <c r="H8" s="646"/>
      <c r="I8" s="640"/>
      <c r="J8" s="641"/>
      <c r="K8" s="641"/>
      <c r="L8" s="641"/>
      <c r="M8" s="640"/>
      <c r="N8" s="645"/>
      <c r="O8" s="645"/>
      <c r="P8" s="645"/>
      <c r="Q8" s="407"/>
      <c r="R8" s="662"/>
      <c r="S8" s="638"/>
      <c r="T8" s="638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344</v>
      </c>
      <c r="AO8" s="635"/>
      <c r="AP8" s="636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73"/>
    </row>
    <row r="9" ht="55.5" customHeight="1">
      <c r="A9" s="407"/>
      <c r="B9" s="644"/>
      <c r="C9" s="644"/>
      <c r="D9" s="644"/>
      <c r="E9" s="407"/>
      <c r="F9" s="646"/>
      <c r="G9" s="646"/>
      <c r="H9" s="646"/>
      <c r="I9" s="640"/>
      <c r="J9" s="641"/>
      <c r="K9" s="641"/>
      <c r="L9" s="641"/>
      <c r="M9" s="640"/>
      <c r="N9" s="645"/>
      <c r="O9" s="645"/>
      <c r="P9" s="645"/>
      <c r="Q9" s="407"/>
      <c r="R9" s="662"/>
      <c r="S9" s="639"/>
      <c r="T9" s="639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73"/>
    </row>
    <row r="10" ht="55.5" customHeight="1">
      <c r="A10" s="407"/>
      <c r="B10" s="644"/>
      <c r="C10" s="644"/>
      <c r="D10" s="644"/>
      <c r="E10" s="407"/>
      <c r="F10" s="646"/>
      <c r="G10" s="646"/>
      <c r="H10" s="646"/>
      <c r="I10" s="640"/>
      <c r="J10" s="641"/>
      <c r="K10" s="641"/>
      <c r="L10" s="641"/>
      <c r="M10" s="640"/>
      <c r="N10" s="645"/>
      <c r="O10" s="645"/>
      <c r="P10" s="645"/>
      <c r="Q10" s="407"/>
      <c r="R10" s="662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7" t="s">
        <v>656</v>
      </c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7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6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73"/>
    </row>
    <row r="12" ht="42" customHeight="1" s="405" customFormat="1">
      <c r="A12" s="407"/>
      <c r="B12" s="641"/>
      <c r="C12" s="641"/>
      <c r="D12" s="641"/>
      <c r="E12" s="407"/>
      <c r="F12" s="643"/>
      <c r="G12" s="643"/>
      <c r="H12" s="643"/>
      <c r="I12" s="640"/>
      <c r="J12" s="641"/>
      <c r="K12" s="641"/>
      <c r="L12" s="641"/>
      <c r="M12" s="640"/>
      <c r="N12" s="642"/>
      <c r="O12" s="642"/>
      <c r="P12" s="642"/>
      <c r="Q12" s="407"/>
      <c r="R12" s="662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73"/>
    </row>
    <row r="13" ht="55.5" customHeight="1" s="405" customFormat="1">
      <c r="A13" s="407"/>
      <c r="B13" s="641"/>
      <c r="C13" s="641"/>
      <c r="D13" s="641"/>
      <c r="E13" s="407"/>
      <c r="F13" s="643"/>
      <c r="G13" s="643"/>
      <c r="H13" s="643"/>
      <c r="I13" s="640"/>
      <c r="J13" s="641"/>
      <c r="K13" s="641"/>
      <c r="L13" s="641"/>
      <c r="M13" s="640"/>
      <c r="N13" s="642"/>
      <c r="O13" s="642"/>
      <c r="P13" s="642"/>
      <c r="Q13" s="407"/>
      <c r="R13" s="662"/>
      <c r="S13" s="524" t="s">
        <v>659</v>
      </c>
      <c r="T13" s="488"/>
      <c r="AC13" s="407"/>
      <c r="AD13" s="406"/>
      <c r="AE13" s="407"/>
      <c r="AF13" s="679" t="s">
        <v>646</v>
      </c>
      <c r="AG13" s="678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13713.806250000002</v>
      </c>
      <c r="AH13" s="678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73"/>
    </row>
    <row r="14" ht="55.5" customHeight="1" s="405" customFormat="1">
      <c r="A14" s="407"/>
      <c r="B14" s="641"/>
      <c r="C14" s="641"/>
      <c r="D14" s="641"/>
      <c r="E14" s="407"/>
      <c r="F14" s="643"/>
      <c r="G14" s="643"/>
      <c r="H14" s="643"/>
      <c r="I14" s="640"/>
      <c r="J14" s="641"/>
      <c r="K14" s="641"/>
      <c r="L14" s="641"/>
      <c r="M14" s="640"/>
      <c r="N14" s="642"/>
      <c r="O14" s="642"/>
      <c r="P14" s="642"/>
      <c r="Q14" s="407"/>
      <c r="R14" s="662"/>
      <c r="S14" s="525" t="s">
        <v>661</v>
      </c>
      <c r="T14" s="523"/>
      <c r="U14" s="489" t="s">
        <v>616</v>
      </c>
      <c r="V14" s="66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67"/>
      <c r="X14" s="667"/>
      <c r="Y14" s="667"/>
      <c r="Z14" s="667"/>
      <c r="AA14" s="667"/>
      <c r="AB14" s="667"/>
      <c r="AC14" s="667"/>
      <c r="AD14" s="406"/>
      <c r="AE14" s="407"/>
      <c r="AF14" s="679"/>
      <c r="AG14" s="678"/>
      <c r="AH14" s="678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6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67"/>
      <c r="AX14" s="667"/>
      <c r="AY14" s="667"/>
      <c r="AZ14" s="667"/>
      <c r="BA14" s="667"/>
      <c r="BB14" s="667"/>
      <c r="BC14" s="406"/>
      <c r="BD14" s="484" t="s">
        <v>661</v>
      </c>
      <c r="BE14" s="484"/>
      <c r="BF14" s="489" t="s">
        <v>613</v>
      </c>
      <c r="BG14" s="66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67"/>
      <c r="BI14" s="667"/>
      <c r="BJ14" s="667"/>
      <c r="BK14" s="667"/>
      <c r="BL14" s="667"/>
      <c r="BM14" s="667"/>
      <c r="BN14" s="529"/>
    </row>
    <row r="15" ht="18.75" customHeight="1" s="405" customFormat="1">
      <c r="A15" s="407"/>
      <c r="B15" s="640"/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407"/>
      <c r="R15" s="66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40"/>
      <c r="B16" s="640"/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6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3" t="s">
        <v>653</v>
      </c>
      <c r="AP16" s="634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40"/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6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40"/>
      <c r="B18" s="640"/>
      <c r="C18" s="640"/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5"/>
      <c r="AP18" s="636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40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40"/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7" t="s">
        <v>662</v>
      </c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62"/>
      <c r="S21" s="655" t="s">
        <v>663</v>
      </c>
      <c r="T21" s="656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50"/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650"/>
      <c r="P22" s="650"/>
      <c r="Q22" s="650"/>
      <c r="R22" s="662"/>
      <c r="S22" s="434" t="s">
        <v>646</v>
      </c>
      <c r="T22" s="435">
        <f>Royal2!G86</f>
        <v>205961.1282832596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344797.6875</v>
      </c>
      <c r="AU22" s="472"/>
      <c r="BC22" s="406"/>
      <c r="BD22" s="464" t="s">
        <v>646</v>
      </c>
      <c r="BE22" s="465">
        <f>'بيرسا و لوفرز'!R140</f>
        <v>226557.46750000003</v>
      </c>
      <c r="BF22" s="472"/>
      <c r="BN22" s="407"/>
    </row>
    <row r="23" ht="39.75" customHeight="1" s="405" customFormat="1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62"/>
      <c r="S23" s="436" t="s">
        <v>215</v>
      </c>
      <c r="T23" s="435">
        <f>T22/(AA33*X31)*10000</f>
        <v>12872.570517703725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31" t="s">
        <v>646</v>
      </c>
      <c r="AF23" s="631"/>
      <c r="AG23" s="632">
        <f>'شماسي و كانتليفر'!AE12</f>
        <v>25876.5</v>
      </c>
      <c r="AH23" s="6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16901.847426470591</v>
      </c>
      <c r="AU23" s="472"/>
      <c r="AV23" s="473"/>
      <c r="BC23" s="406"/>
      <c r="BD23" s="464" t="s">
        <v>215</v>
      </c>
      <c r="BE23" s="466">
        <f>BE22/(BE33*BE34/10000)</f>
        <v>26221.9291087963</v>
      </c>
      <c r="BF23" s="472"/>
      <c r="BG23" s="473"/>
      <c r="BN23" s="407"/>
    </row>
    <row r="24" ht="39.75" customHeight="1" s="405" customFormat="1">
      <c r="A24" s="650"/>
      <c r="B24" s="650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62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31"/>
      <c r="AF24" s="631"/>
      <c r="AG24" s="632"/>
      <c r="AH24" s="6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50"/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  <c r="Q25" s="650"/>
      <c r="R25" s="662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50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62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29" t="s">
        <v>648</v>
      </c>
      <c r="AH26" s="663" t="s">
        <v>288</v>
      </c>
      <c r="AI26" s="629" t="s">
        <v>376</v>
      </c>
      <c r="AJ26" s="629" t="s">
        <v>651</v>
      </c>
      <c r="AK26" s="629" t="s">
        <v>652</v>
      </c>
      <c r="AL26" s="653" t="s">
        <v>653</v>
      </c>
      <c r="AM26" s="653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50"/>
      <c r="B27" s="650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6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30"/>
      <c r="AH27" s="664"/>
      <c r="AI27" s="630"/>
      <c r="AJ27" s="630"/>
      <c r="AK27" s="630"/>
      <c r="AL27" s="654"/>
      <c r="AM27" s="65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50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6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27" t="s">
        <v>339</v>
      </c>
      <c r="AH28" s="627" t="s">
        <v>261</v>
      </c>
      <c r="AI28" s="627" t="s">
        <v>318</v>
      </c>
      <c r="AJ28" s="627" t="s">
        <v>44</v>
      </c>
      <c r="AK28" s="627" t="s">
        <v>344</v>
      </c>
      <c r="AL28" s="651"/>
      <c r="AM28" s="65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50"/>
      <c r="B29" s="650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6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28"/>
      <c r="AH29" s="628"/>
      <c r="AI29" s="628"/>
      <c r="AJ29" s="628"/>
      <c r="AK29" s="628"/>
      <c r="AL29" s="652"/>
      <c r="AM29" s="652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50"/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62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50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62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58" t="s">
        <v>667</v>
      </c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50"/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62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50"/>
      <c r="B33" s="650"/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650"/>
      <c r="Q33" s="650"/>
      <c r="R33" s="662"/>
      <c r="S33" s="432" t="s">
        <v>659</v>
      </c>
      <c r="T33" s="447"/>
      <c r="U33" s="446"/>
      <c r="V33" s="659"/>
      <c r="W33" s="659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50"/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62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65"/>
      <c r="BA34" s="665"/>
      <c r="BB34" s="665"/>
      <c r="BD34" s="430" t="s">
        <v>661</v>
      </c>
      <c r="BE34" s="430">
        <v>270</v>
      </c>
      <c r="BF34" s="478"/>
      <c r="BK34" s="665"/>
      <c r="BL34" s="665"/>
      <c r="BM34" s="665"/>
      <c r="BN34" s="407"/>
    </row>
    <row r="35" ht="41.25" customHeight="1">
      <c r="A35" s="650"/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6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50"/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6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50"/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62"/>
      <c r="S37" s="407"/>
      <c r="T37" s="407"/>
      <c r="U37" s="6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57"/>
      <c r="W37" s="657"/>
      <c r="X37" s="657"/>
      <c r="Y37" s="657"/>
      <c r="Z37" s="657"/>
      <c r="AA37" s="657"/>
      <c r="AB37" s="657"/>
      <c r="AC37" s="657"/>
      <c r="AD37" s="406"/>
      <c r="AR37" s="406"/>
      <c r="AS37" s="670">
        <f>('بيرسا و لوفرز'!F24+'بيرسا و لوفرز'!V55+'بيرسا و لوفرز'!V63)*1.35</f>
        <v>210624.975</v>
      </c>
      <c r="AT37" s="671"/>
      <c r="BD37" s="670">
        <f>('بيرسا و لوفرز'!F97+'بيرسا و لوفرز'!V126+'بيرسا و لوفرز'!V134)*1.35</f>
        <v>121914.7875</v>
      </c>
      <c r="BE37" s="671"/>
      <c r="BN37" s="407"/>
    </row>
    <row r="38" ht="41.25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6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70">
        <f>AS37/(AT34*AT33/10000)</f>
        <v>10324.753676470589</v>
      </c>
      <c r="AT38" s="671"/>
      <c r="BD38" s="670">
        <f>BD37/(BE33*BE34/10000)</f>
        <v>14110.5078125</v>
      </c>
      <c r="BE38" s="671"/>
      <c r="BK38" s="485">
        <f>BE33</f>
        <v>320</v>
      </c>
      <c r="BN38" s="407"/>
    </row>
    <row r="39" ht="41.25" customHeight="1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62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62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62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406"/>
      <c r="AE41" s="648" t="s">
        <v>669</v>
      </c>
      <c r="AF41" s="648"/>
      <c r="AG41" s="648"/>
      <c r="AH41" s="648"/>
      <c r="AI41" s="648"/>
      <c r="AJ41" s="648"/>
      <c r="AK41" s="648"/>
      <c r="AL41" s="648"/>
      <c r="AM41" s="648"/>
      <c r="AN41" s="648"/>
      <c r="AO41" s="648"/>
      <c r="AP41" s="648"/>
      <c r="AQ41" s="648"/>
      <c r="AR41" s="406"/>
      <c r="AS41" s="672" t="s">
        <v>670</v>
      </c>
      <c r="AT41" s="672"/>
      <c r="AU41" s="672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62"/>
      <c r="S42" s="655" t="s">
        <v>672</v>
      </c>
      <c r="T42" s="656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48"/>
      <c r="AF42" s="648"/>
      <c r="AG42" s="648"/>
      <c r="AH42" s="648"/>
      <c r="AI42" s="648"/>
      <c r="AJ42" s="648"/>
      <c r="AK42" s="648"/>
      <c r="AL42" s="648"/>
      <c r="AM42" s="648"/>
      <c r="AN42" s="648"/>
      <c r="AO42" s="648"/>
      <c r="AP42" s="648"/>
      <c r="AQ42" s="648"/>
      <c r="AR42" s="406"/>
      <c r="AS42" s="464" t="s">
        <v>646</v>
      </c>
      <c r="AT42" s="465">
        <f>'بيرسا و لوفرز'!BM68</f>
        <v>225292.01499999999</v>
      </c>
      <c r="AU42" s="472"/>
      <c r="BD42" s="464" t="s">
        <v>646</v>
      </c>
      <c r="BE42" s="465">
        <f>'بيرسا و لوفرز'!BM139</f>
        <v>239455.51499999999</v>
      </c>
      <c r="BF42" s="472"/>
      <c r="BN42" s="407"/>
    </row>
    <row r="43" ht="42" customHeight="1">
      <c r="A43" s="650" t="s">
        <v>673</v>
      </c>
      <c r="B43" s="6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62"/>
      <c r="S43" s="434" t="s">
        <v>646</v>
      </c>
      <c r="T43" s="435">
        <f>'شماسي و كانتليفر'!N51</f>
        <v>91091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48"/>
      <c r="AF43" s="648"/>
      <c r="AG43" s="648"/>
      <c r="AH43" s="648"/>
      <c r="AI43" s="648"/>
      <c r="AJ43" s="648"/>
      <c r="AK43" s="648"/>
      <c r="AL43" s="648"/>
      <c r="AM43" s="648"/>
      <c r="AN43" s="648"/>
      <c r="AO43" s="648"/>
      <c r="AP43" s="648"/>
      <c r="AQ43" s="648"/>
      <c r="AR43" s="406"/>
      <c r="AS43" s="464" t="s">
        <v>215</v>
      </c>
      <c r="AT43" s="466">
        <f>AT42/(AT53*AT54/10000)</f>
        <v>11264.60075</v>
      </c>
      <c r="AU43" s="472"/>
      <c r="AV43" s="473"/>
      <c r="BD43" s="464" t="s">
        <v>215</v>
      </c>
      <c r="BE43" s="466">
        <f>BE42/(BE53*BE54/10000)</f>
        <v>11972.775749999999</v>
      </c>
      <c r="BF43" s="472"/>
      <c r="BG43" s="473"/>
      <c r="BN43" s="407"/>
    </row>
    <row r="44" ht="42" customHeight="1">
      <c r="A44" s="650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62"/>
      <c r="S44" s="436" t="s">
        <v>215</v>
      </c>
      <c r="T44" s="435">
        <f>T43/T51</f>
        <v>3643.64</v>
      </c>
      <c r="U44" s="450"/>
      <c r="V44" s="450"/>
      <c r="W44" s="450"/>
      <c r="X44" s="450"/>
      <c r="Y44" s="649"/>
      <c r="Z44" s="649"/>
      <c r="AA44" s="450"/>
      <c r="AB44" s="450"/>
      <c r="AC44" s="450"/>
      <c r="AD44" s="406"/>
      <c r="AE44" s="648"/>
      <c r="AF44" s="648"/>
      <c r="AG44" s="648"/>
      <c r="AH44" s="648"/>
      <c r="AI44" s="648"/>
      <c r="AJ44" s="648"/>
      <c r="AK44" s="648"/>
      <c r="AL44" s="648"/>
      <c r="AM44" s="648"/>
      <c r="AN44" s="648"/>
      <c r="AO44" s="648"/>
      <c r="AP44" s="648"/>
      <c r="AQ44" s="648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50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62"/>
      <c r="S45" s="432" t="s">
        <v>647</v>
      </c>
      <c r="T45" s="433" t="s">
        <v>114</v>
      </c>
      <c r="U45" s="450"/>
      <c r="V45" s="450"/>
      <c r="W45" s="450"/>
      <c r="X45" s="450"/>
      <c r="Y45" s="649"/>
      <c r="Z45" s="649"/>
      <c r="AA45" s="450"/>
      <c r="AB45" s="450"/>
      <c r="AC45" s="450"/>
      <c r="AD45" s="406"/>
      <c r="AE45" s="648"/>
      <c r="AF45" s="648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50"/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0"/>
      <c r="O46" s="650"/>
      <c r="P46" s="650"/>
      <c r="Q46" s="650"/>
      <c r="R46" s="662"/>
      <c r="S46" s="437" t="s">
        <v>608</v>
      </c>
      <c r="T46" s="438" t="s">
        <v>612</v>
      </c>
      <c r="U46" s="450"/>
      <c r="V46" s="450"/>
      <c r="W46" s="450"/>
      <c r="X46" s="450"/>
      <c r="Y46" s="649"/>
      <c r="Z46" s="649"/>
      <c r="AA46" s="450"/>
      <c r="AB46" s="450"/>
      <c r="AC46" s="450"/>
      <c r="AD46" s="406"/>
      <c r="AE46" s="648"/>
      <c r="AF46" s="648"/>
      <c r="AG46" s="648"/>
      <c r="AH46" s="648"/>
      <c r="AI46" s="648"/>
      <c r="AJ46" s="648"/>
      <c r="AK46" s="648"/>
      <c r="AL46" s="648"/>
      <c r="AM46" s="648"/>
      <c r="AN46" s="648"/>
      <c r="AO46" s="648"/>
      <c r="AP46" s="648"/>
      <c r="AQ46" s="648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50"/>
      <c r="B47" s="650"/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650"/>
      <c r="O47" s="650"/>
      <c r="P47" s="650"/>
      <c r="Q47" s="650"/>
      <c r="R47" s="662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48"/>
      <c r="AF47" s="648"/>
      <c r="AG47" s="648"/>
      <c r="AH47" s="648"/>
      <c r="AI47" s="648"/>
      <c r="AJ47" s="648"/>
      <c r="AK47" s="648"/>
      <c r="AL47" s="648"/>
      <c r="AM47" s="648"/>
      <c r="AN47" s="648"/>
      <c r="AO47" s="648"/>
      <c r="AP47" s="648"/>
      <c r="AQ47" s="64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50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6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406"/>
      <c r="AS48" s="431"/>
      <c r="AT48" s="431"/>
      <c r="BD48" s="431"/>
      <c r="BE48" s="431"/>
      <c r="BN48" s="407"/>
    </row>
    <row r="49" ht="42" customHeight="1">
      <c r="A49" s="650"/>
      <c r="B49" s="650"/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6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48"/>
      <c r="AF49" s="648"/>
      <c r="AG49" s="648"/>
      <c r="AH49" s="648"/>
      <c r="AI49" s="648"/>
      <c r="AJ49" s="648"/>
      <c r="AK49" s="648"/>
      <c r="AL49" s="648"/>
      <c r="AM49" s="648"/>
      <c r="AN49" s="648"/>
      <c r="AO49" s="648"/>
      <c r="AP49" s="648"/>
      <c r="AQ49" s="648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50"/>
      <c r="B50" s="650"/>
      <c r="C50" s="650"/>
      <c r="D50" s="650"/>
      <c r="E50" s="650"/>
      <c r="F50" s="650"/>
      <c r="G50" s="650"/>
      <c r="H50" s="650"/>
      <c r="I50" s="650"/>
      <c r="J50" s="650"/>
      <c r="K50" s="650"/>
      <c r="L50" s="650"/>
      <c r="M50" s="650"/>
      <c r="N50" s="650"/>
      <c r="O50" s="650"/>
      <c r="P50" s="650"/>
      <c r="Q50" s="650"/>
      <c r="R50" s="66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48"/>
      <c r="AF50" s="648"/>
      <c r="AG50" s="648"/>
      <c r="AH50" s="648"/>
      <c r="AI50" s="648"/>
      <c r="AJ50" s="648"/>
      <c r="AK50" s="648"/>
      <c r="AL50" s="648"/>
      <c r="AM50" s="648"/>
      <c r="AN50" s="648"/>
      <c r="AO50" s="648"/>
      <c r="AP50" s="648"/>
      <c r="AQ50" s="648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50"/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62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48"/>
      <c r="AF51" s="648"/>
      <c r="AG51" s="648"/>
      <c r="AH51" s="648"/>
      <c r="AI51" s="648"/>
      <c r="AJ51" s="648"/>
      <c r="AK51" s="648"/>
      <c r="AL51" s="648"/>
      <c r="AM51" s="648"/>
      <c r="AN51" s="648"/>
      <c r="AO51" s="648"/>
      <c r="AP51" s="648"/>
      <c r="AQ51" s="64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50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62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48"/>
      <c r="AF52" s="648"/>
      <c r="AG52" s="648"/>
      <c r="AH52" s="648"/>
      <c r="AI52" s="648"/>
      <c r="AJ52" s="648"/>
      <c r="AK52" s="648"/>
      <c r="AL52" s="648"/>
      <c r="AM52" s="648"/>
      <c r="AN52" s="648"/>
      <c r="AO52" s="648"/>
      <c r="AP52" s="648"/>
      <c r="AQ52" s="648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50"/>
      <c r="B53" s="650"/>
      <c r="C53" s="650"/>
      <c r="D53" s="650"/>
      <c r="E53" s="650"/>
      <c r="F53" s="650"/>
      <c r="G53" s="650"/>
      <c r="H53" s="650"/>
      <c r="I53" s="650"/>
      <c r="J53" s="650"/>
      <c r="K53" s="650"/>
      <c r="L53" s="650"/>
      <c r="M53" s="650"/>
      <c r="N53" s="650"/>
      <c r="O53" s="650"/>
      <c r="P53" s="650"/>
      <c r="Q53" s="650"/>
      <c r="R53" s="662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50"/>
      <c r="B54" s="650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62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48"/>
      <c r="AF54" s="648"/>
      <c r="AG54" s="648"/>
      <c r="AH54" s="648"/>
      <c r="AI54" s="648"/>
      <c r="AJ54" s="648"/>
      <c r="AK54" s="648"/>
      <c r="AL54" s="648"/>
      <c r="AM54" s="648"/>
      <c r="AN54" s="648"/>
      <c r="AO54" s="648"/>
      <c r="AP54" s="648"/>
      <c r="AQ54" s="648"/>
      <c r="AR54" s="406"/>
      <c r="AS54" s="430" t="s">
        <v>661</v>
      </c>
      <c r="AT54" s="430">
        <v>400</v>
      </c>
      <c r="AU54" s="478"/>
      <c r="AZ54" s="665"/>
      <c r="BA54" s="665"/>
      <c r="BB54" s="665"/>
      <c r="BD54" s="430" t="s">
        <v>661</v>
      </c>
      <c r="BE54" s="430">
        <v>400</v>
      </c>
      <c r="BF54" s="478"/>
      <c r="BK54" s="665"/>
      <c r="BL54" s="665"/>
      <c r="BM54" s="665"/>
      <c r="BN54" s="407"/>
    </row>
    <row r="55" ht="42" customHeight="1">
      <c r="A55" s="650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62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48"/>
      <c r="AF55" s="648"/>
      <c r="AG55" s="648"/>
      <c r="AH55" s="648"/>
      <c r="AI55" s="648"/>
      <c r="AJ55" s="648"/>
      <c r="AK55" s="648"/>
      <c r="AL55" s="648"/>
      <c r="AM55" s="648"/>
      <c r="AN55" s="648"/>
      <c r="AO55" s="648"/>
      <c r="AP55" s="648"/>
      <c r="AQ55" s="648"/>
      <c r="AR55" s="406"/>
      <c r="AS55" s="407"/>
      <c r="AT55" s="407"/>
      <c r="BD55" s="407"/>
      <c r="BE55" s="407"/>
      <c r="BN55" s="407"/>
    </row>
    <row r="56" ht="42" customHeight="1">
      <c r="A56" s="650"/>
      <c r="B56" s="650"/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6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48"/>
      <c r="AF56" s="648"/>
      <c r="AG56" s="648"/>
      <c r="AH56" s="648"/>
      <c r="AI56" s="648"/>
      <c r="AJ56" s="648"/>
      <c r="AK56" s="648"/>
      <c r="AL56" s="648"/>
      <c r="AM56" s="648"/>
      <c r="AN56" s="648"/>
      <c r="AO56" s="648"/>
      <c r="AP56" s="648"/>
      <c r="AQ56" s="648"/>
      <c r="AR56" s="406"/>
      <c r="AS56" s="407"/>
      <c r="AT56" s="407"/>
      <c r="BD56" s="407"/>
      <c r="BE56" s="407"/>
      <c r="BN56" s="407"/>
    </row>
    <row r="57" ht="42" customHeight="1">
      <c r="A57" s="650"/>
      <c r="B57" s="650"/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50"/>
      <c r="P57" s="650"/>
      <c r="Q57" s="650"/>
      <c r="R57" s="66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48"/>
      <c r="AF57" s="648"/>
      <c r="AG57" s="648"/>
      <c r="AH57" s="648"/>
      <c r="AI57" s="648"/>
      <c r="AJ57" s="648"/>
      <c r="AK57" s="648"/>
      <c r="AL57" s="648"/>
      <c r="AM57" s="648"/>
      <c r="AN57" s="648"/>
      <c r="AO57" s="648"/>
      <c r="AP57" s="648"/>
      <c r="AQ57" s="648"/>
      <c r="AR57" s="406"/>
      <c r="AS57" s="668">
        <f>('بيرسا و لوفرز'!BA14+'بيرسا و لوفرز'!BP62+'بيرسا و لوفرز'!BQ54)*1.35</f>
        <v>131031.675</v>
      </c>
      <c r="AT57" s="669"/>
      <c r="BD57" s="668">
        <f>('بيرسا و لوفرز'!BA85+'بيرسا و لوفرز'!BP133+'بيرسا و لوفرز'!BQ125)*1.35</f>
        <v>131031.675</v>
      </c>
      <c r="BE57" s="669"/>
      <c r="BN57" s="407"/>
    </row>
    <row r="58" ht="42" customHeight="1">
      <c r="A58" s="650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62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48"/>
      <c r="AF58" s="648"/>
      <c r="AG58" s="648"/>
      <c r="AH58" s="648"/>
      <c r="AI58" s="648"/>
      <c r="AJ58" s="648"/>
      <c r="AK58" s="648"/>
      <c r="AL58" s="648"/>
      <c r="AM58" s="648"/>
      <c r="AN58" s="648"/>
      <c r="AO58" s="648"/>
      <c r="AP58" s="648"/>
      <c r="AQ58" s="648"/>
      <c r="AR58" s="406"/>
      <c r="AS58" s="660">
        <f>AS57/(AT53*AT54/10000)</f>
        <v>6551.58375</v>
      </c>
      <c r="AT58" s="661"/>
      <c r="BD58" s="660">
        <f>BD57/(BE53*BE54/10000)</f>
        <v>6551.58375</v>
      </c>
      <c r="BE58" s="661"/>
      <c r="BN58" s="407"/>
    </row>
    <row r="59" ht="39" customHeight="1">
      <c r="A59" s="650"/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6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50" t="s">
        <v>677</v>
      </c>
      <c r="B60" s="650"/>
      <c r="C60" s="650"/>
      <c r="D60" s="650"/>
      <c r="E60" s="650"/>
      <c r="F60" s="650"/>
      <c r="G60" s="650"/>
      <c r="H60" s="650"/>
      <c r="I60" s="650"/>
      <c r="J60" s="650"/>
      <c r="K60" s="650"/>
      <c r="L60" s="650"/>
      <c r="M60" s="650"/>
      <c r="N60" s="650"/>
      <c r="O60" s="650"/>
      <c r="P60" s="650"/>
      <c r="Q60" s="650"/>
      <c r="R60" s="662"/>
      <c r="S60" s="655" t="s">
        <v>672</v>
      </c>
      <c r="T60" s="656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50"/>
      <c r="B61" s="65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62"/>
      <c r="S61" s="434" t="s">
        <v>646</v>
      </c>
      <c r="T61" s="435">
        <f>'شماسي و كانتليفر'!N84</f>
        <v>102607.05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50"/>
      <c r="B62" s="650"/>
      <c r="C62" s="650"/>
      <c r="D62" s="650"/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62"/>
      <c r="S62" s="436" t="s">
        <v>215</v>
      </c>
      <c r="T62" s="435">
        <f>T61/T69</f>
        <v>4104.282</v>
      </c>
      <c r="U62" s="450"/>
      <c r="V62" s="450"/>
      <c r="W62" s="450"/>
      <c r="X62" s="450"/>
      <c r="Y62" s="649"/>
      <c r="Z62" s="649"/>
      <c r="AA62" s="450"/>
      <c r="AB62" s="450"/>
      <c r="AC62" s="450"/>
      <c r="AD62" s="406"/>
      <c r="AR62" s="406"/>
      <c r="BN62" s="407"/>
    </row>
    <row r="63" ht="40.5" customHeight="1">
      <c r="A63" s="650"/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62"/>
      <c r="S63" s="432" t="s">
        <v>647</v>
      </c>
      <c r="T63" s="433" t="s">
        <v>114</v>
      </c>
      <c r="U63" s="450"/>
      <c r="V63" s="450"/>
      <c r="W63" s="450"/>
      <c r="X63" s="450"/>
      <c r="Y63" s="649"/>
      <c r="Z63" s="649"/>
      <c r="AA63" s="450"/>
      <c r="AB63" s="450"/>
      <c r="AC63" s="450"/>
      <c r="AD63" s="406"/>
      <c r="AR63" s="406"/>
      <c r="BN63" s="407"/>
    </row>
    <row r="64" ht="40.5" customHeight="1">
      <c r="A64" s="650"/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62"/>
      <c r="S64" s="437" t="s">
        <v>608</v>
      </c>
      <c r="T64" s="438" t="s">
        <v>612</v>
      </c>
      <c r="U64" s="450"/>
      <c r="V64" s="450"/>
      <c r="W64" s="450"/>
      <c r="X64" s="450"/>
      <c r="Y64" s="649"/>
      <c r="Z64" s="649"/>
      <c r="AA64" s="450"/>
      <c r="AB64" s="450"/>
      <c r="AC64" s="450"/>
      <c r="AD64" s="406"/>
      <c r="AR64" s="406"/>
      <c r="BN64" s="407"/>
    </row>
    <row r="65" ht="40.5" customHeight="1">
      <c r="A65" s="650"/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62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50"/>
      <c r="B66" s="650"/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6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50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6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50"/>
      <c r="B68" s="650"/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6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62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50"/>
      <c r="B70" s="650"/>
      <c r="C70" s="650"/>
      <c r="D70" s="650"/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62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50"/>
      <c r="B71" s="650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62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50"/>
      <c r="B72" s="650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0"/>
      <c r="R72" s="662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50"/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62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50"/>
      <c r="B74" s="650"/>
      <c r="C74" s="650"/>
      <c r="D74" s="650"/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650"/>
      <c r="Q74" s="650"/>
      <c r="R74" s="66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50"/>
      <c r="B75" s="650"/>
      <c r="C75" s="650"/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6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50"/>
      <c r="B76" s="650"/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62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62"/>
      <c r="AD77" s="406"/>
      <c r="AR77" s="406"/>
      <c r="BN77" s="407"/>
    </row>
    <row r="78" ht="15" customHeight="1">
      <c r="A78" s="647" t="s">
        <v>678</v>
      </c>
      <c r="B78" s="647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6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47"/>
      <c r="B79" s="647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62"/>
      <c r="AC79" s="406"/>
      <c r="AQ79" s="406"/>
      <c r="BB79" s="406"/>
      <c r="BM79" s="407"/>
    </row>
    <row r="80" ht="38.25" customHeight="1">
      <c r="A80" s="647"/>
      <c r="B80" s="647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62"/>
      <c r="AQ80" s="406"/>
      <c r="BB80" s="406"/>
      <c r="BM80" s="407"/>
    </row>
    <row r="81" ht="38.25" customHeight="1">
      <c r="A81" s="647"/>
      <c r="B81" s="647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62"/>
      <c r="AQ81" s="406"/>
      <c r="BB81" s="406"/>
      <c r="BM81" s="407"/>
    </row>
    <row r="82" ht="38.25" customHeight="1">
      <c r="A82" s="647"/>
      <c r="B82" s="647"/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62"/>
      <c r="AQ82" s="406"/>
      <c r="BB82" s="406"/>
      <c r="BM82" s="407"/>
    </row>
    <row r="83" ht="38.25" customHeight="1">
      <c r="A83" s="647"/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62"/>
      <c r="AQ83" s="406"/>
      <c r="BB83" s="406"/>
      <c r="BM83" s="407"/>
    </row>
    <row r="84" ht="38.25" customHeight="1">
      <c r="A84" s="647"/>
      <c r="B84" s="647"/>
      <c r="C84" s="647"/>
      <c r="D84" s="647"/>
      <c r="E84" s="647"/>
      <c r="F84" s="647"/>
      <c r="G84" s="647"/>
      <c r="H84" s="647"/>
      <c r="I84" s="647"/>
      <c r="J84" s="647"/>
      <c r="K84" s="647"/>
      <c r="L84" s="647"/>
      <c r="M84" s="647"/>
      <c r="N84" s="647"/>
      <c r="O84" s="647"/>
      <c r="P84" s="647"/>
      <c r="Q84" s="647"/>
      <c r="R84" s="662"/>
      <c r="AQ84" s="406"/>
      <c r="BB84" s="406"/>
      <c r="BM84" s="407"/>
    </row>
    <row r="85" ht="38.25" customHeight="1">
      <c r="A85" s="647"/>
      <c r="B85" s="647"/>
      <c r="C85" s="647"/>
      <c r="D85" s="647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647"/>
      <c r="R85" s="662"/>
      <c r="AQ85" s="406"/>
      <c r="BB85" s="406"/>
      <c r="BM85" s="407"/>
    </row>
    <row r="86" ht="38.25" customHeight="1">
      <c r="A86" s="647"/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62"/>
      <c r="AQ86" s="406"/>
      <c r="BB86" s="406"/>
      <c r="BM86" s="407"/>
    </row>
    <row r="87" ht="38.25" customHeight="1">
      <c r="A87" s="647"/>
      <c r="B87" s="647"/>
      <c r="C87" s="647"/>
      <c r="D87" s="647"/>
      <c r="E87" s="647"/>
      <c r="F87" s="647"/>
      <c r="G87" s="647"/>
      <c r="H87" s="647"/>
      <c r="I87" s="647"/>
      <c r="J87" s="647"/>
      <c r="K87" s="647"/>
      <c r="L87" s="647"/>
      <c r="M87" s="647"/>
      <c r="N87" s="647"/>
      <c r="O87" s="647"/>
      <c r="P87" s="647"/>
      <c r="Q87" s="647"/>
      <c r="R87" s="662"/>
      <c r="AQ87" s="406"/>
      <c r="BB87" s="406"/>
      <c r="BM87" s="407"/>
    </row>
    <row r="88" ht="38.25" customHeight="1">
      <c r="A88" s="647"/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647"/>
      <c r="R88" s="662"/>
      <c r="AQ88" s="406"/>
      <c r="BB88" s="406"/>
      <c r="BM88" s="407"/>
    </row>
    <row r="89" ht="38.25" customHeight="1">
      <c r="A89" s="647"/>
      <c r="B89" s="647"/>
      <c r="C89" s="647"/>
      <c r="D89" s="647"/>
      <c r="E89" s="647"/>
      <c r="F89" s="647"/>
      <c r="G89" s="647"/>
      <c r="H89" s="647"/>
      <c r="I89" s="647"/>
      <c r="J89" s="647"/>
      <c r="K89" s="647"/>
      <c r="L89" s="647"/>
      <c r="M89" s="647"/>
      <c r="N89" s="647"/>
      <c r="O89" s="647"/>
      <c r="P89" s="647"/>
      <c r="Q89" s="647"/>
      <c r="R89" s="662"/>
      <c r="AQ89" s="406"/>
      <c r="BB89" s="406"/>
      <c r="BM89" s="407"/>
    </row>
    <row r="90" ht="38.25" customHeight="1">
      <c r="A90" s="647"/>
      <c r="B90" s="647"/>
      <c r="C90" s="647"/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62"/>
      <c r="AQ90" s="406"/>
      <c r="BB90" s="406"/>
      <c r="BM90" s="407"/>
    </row>
    <row r="91" ht="38.25" customHeight="1">
      <c r="A91" s="647"/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62"/>
      <c r="AQ91" s="406"/>
      <c r="BB91" s="406"/>
      <c r="BM91" s="407"/>
    </row>
    <row r="92" ht="38.25" customHeight="1">
      <c r="A92" s="647"/>
      <c r="B92" s="647"/>
      <c r="C92" s="647"/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62"/>
      <c r="AQ92" s="406"/>
      <c r="BB92" s="406"/>
      <c r="BM92" s="407"/>
    </row>
    <row r="93" ht="38.25" customHeight="1">
      <c r="A93" s="647"/>
      <c r="B93" s="647"/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62"/>
      <c r="AQ93" s="406"/>
      <c r="BB93" s="406"/>
      <c r="BM93" s="407"/>
    </row>
    <row r="94" ht="38.25" customHeight="1">
      <c r="A94" s="647"/>
      <c r="B94" s="647"/>
      <c r="C94" s="647"/>
      <c r="D94" s="647"/>
      <c r="E94" s="647"/>
      <c r="F94" s="647"/>
      <c r="G94" s="647"/>
      <c r="H94" s="647"/>
      <c r="I94" s="647"/>
      <c r="J94" s="647"/>
      <c r="K94" s="647"/>
      <c r="L94" s="647"/>
      <c r="M94" s="647"/>
      <c r="N94" s="647"/>
      <c r="O94" s="647"/>
      <c r="P94" s="647"/>
      <c r="Q94" s="647"/>
      <c r="R94" s="662"/>
      <c r="AQ94" s="406"/>
      <c r="BB94" s="406"/>
      <c r="BM94" s="407"/>
    </row>
    <row r="95" ht="38.25" customHeight="1">
      <c r="A95" s="647"/>
      <c r="B95" s="647"/>
      <c r="C95" s="647"/>
      <c r="D95" s="647"/>
      <c r="E95" s="647"/>
      <c r="F95" s="647"/>
      <c r="G95" s="647"/>
      <c r="H95" s="647"/>
      <c r="I95" s="647"/>
      <c r="J95" s="647"/>
      <c r="K95" s="647"/>
      <c r="L95" s="647"/>
      <c r="M95" s="647"/>
      <c r="N95" s="647"/>
      <c r="O95" s="647"/>
      <c r="P95" s="647"/>
      <c r="Q95" s="647"/>
      <c r="R95" s="662"/>
      <c r="AQ95" s="406"/>
      <c r="BB95" s="406"/>
      <c r="BM95" s="407"/>
    </row>
    <row r="96" ht="38.25" customHeight="1">
      <c r="A96" s="647"/>
      <c r="B96" s="647"/>
      <c r="C96" s="647"/>
      <c r="D96" s="647"/>
      <c r="E96" s="647"/>
      <c r="F96" s="647"/>
      <c r="G96" s="647"/>
      <c r="H96" s="647"/>
      <c r="I96" s="647"/>
      <c r="J96" s="647"/>
      <c r="K96" s="647"/>
      <c r="L96" s="647"/>
      <c r="M96" s="647"/>
      <c r="N96" s="647"/>
      <c r="O96" s="647"/>
      <c r="P96" s="647"/>
      <c r="Q96" s="647"/>
      <c r="R96" s="662"/>
      <c r="AQ96" s="406"/>
      <c r="BB96" s="406"/>
      <c r="BM96" s="407"/>
    </row>
    <row r="97" ht="39" customHeight="1">
      <c r="A97" s="647"/>
      <c r="B97" s="647"/>
      <c r="C97" s="647"/>
      <c r="D97" s="647"/>
      <c r="E97" s="647"/>
      <c r="F97" s="647"/>
      <c r="G97" s="647"/>
      <c r="H97" s="647"/>
      <c r="I97" s="647"/>
      <c r="J97" s="647"/>
      <c r="K97" s="647"/>
      <c r="L97" s="647"/>
      <c r="M97" s="647"/>
      <c r="N97" s="647"/>
      <c r="O97" s="647"/>
      <c r="P97" s="647"/>
      <c r="Q97" s="647"/>
      <c r="R97" s="662"/>
      <c r="AQ97" s="406"/>
      <c r="BB97" s="406"/>
      <c r="BM97" s="407"/>
    </row>
    <row r="98" ht="39" customHeight="1">
      <c r="A98" s="647" t="s">
        <v>679</v>
      </c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62"/>
      <c r="AR98" s="406"/>
      <c r="BN98" s="407"/>
    </row>
    <row r="99" ht="39" customHeight="1">
      <c r="A99" s="647"/>
      <c r="B99" s="647"/>
      <c r="C99" s="647"/>
      <c r="D99" s="647"/>
      <c r="E99" s="647"/>
      <c r="F99" s="647"/>
      <c r="G99" s="647"/>
      <c r="H99" s="647"/>
      <c r="I99" s="647"/>
      <c r="J99" s="647"/>
      <c r="K99" s="647"/>
      <c r="L99" s="647"/>
      <c r="M99" s="647"/>
      <c r="N99" s="647"/>
      <c r="O99" s="647"/>
      <c r="P99" s="647"/>
      <c r="Q99" s="647"/>
      <c r="R99" s="662"/>
      <c r="AR99" s="406"/>
      <c r="BN99" s="407"/>
    </row>
    <row r="100" ht="39" customHeight="1">
      <c r="A100" s="647"/>
      <c r="B100" s="647"/>
      <c r="C100" s="647"/>
      <c r="D100" s="647"/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62"/>
      <c r="AR100" s="406"/>
      <c r="BN100" s="407"/>
    </row>
    <row r="101" ht="39" customHeight="1">
      <c r="A101" s="647"/>
      <c r="B101" s="647"/>
      <c r="C101" s="647"/>
      <c r="D101" s="647"/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647"/>
      <c r="P101" s="647"/>
      <c r="Q101" s="647"/>
      <c r="R101" s="662"/>
      <c r="AR101" s="406"/>
      <c r="BN101" s="407"/>
    </row>
    <row r="102" ht="39" customHeight="1">
      <c r="A102" s="647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  <c r="R102" s="662"/>
      <c r="AR102" s="406"/>
      <c r="BN102" s="407"/>
    </row>
    <row r="103" ht="39" customHeight="1">
      <c r="A103" s="647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62"/>
      <c r="AR103" s="406"/>
      <c r="BN103" s="407"/>
    </row>
    <row r="104" ht="39" customHeight="1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62"/>
      <c r="AR104" s="406"/>
      <c r="BN104" s="407"/>
    </row>
    <row r="105" ht="39" customHeight="1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62"/>
      <c r="AR105" s="406"/>
      <c r="BN105" s="407"/>
    </row>
    <row r="106" ht="39" customHeight="1">
      <c r="A106" s="647"/>
      <c r="B106" s="647"/>
      <c r="C106" s="647"/>
      <c r="D106" s="647"/>
      <c r="E106" s="647"/>
      <c r="F106" s="647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62"/>
      <c r="AR106" s="406"/>
      <c r="BN106" s="407"/>
    </row>
    <row r="107" ht="39" customHeight="1">
      <c r="A107" s="647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62"/>
      <c r="AR107" s="406"/>
      <c r="BN107" s="407"/>
    </row>
    <row r="108" ht="39" customHeight="1">
      <c r="A108" s="647"/>
      <c r="B108" s="647"/>
      <c r="C108" s="647"/>
      <c r="D108" s="647"/>
      <c r="E108" s="647"/>
      <c r="F108" s="647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62"/>
      <c r="AR108" s="406"/>
      <c r="BN108" s="407"/>
    </row>
    <row r="109" ht="39" customHeight="1">
      <c r="A109" s="647"/>
      <c r="B109" s="647"/>
      <c r="C109" s="647"/>
      <c r="D109" s="647"/>
      <c r="E109" s="647"/>
      <c r="F109" s="647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62"/>
      <c r="AR109" s="406"/>
      <c r="BN109" s="407"/>
    </row>
    <row r="110" ht="39" customHeight="1">
      <c r="A110" s="647"/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62"/>
      <c r="AR110" s="406"/>
      <c r="BN110" s="407"/>
    </row>
    <row r="111" ht="39" customHeight="1">
      <c r="A111" s="647"/>
      <c r="B111" s="647"/>
      <c r="C111" s="647"/>
      <c r="D111" s="647"/>
      <c r="E111" s="647"/>
      <c r="F111" s="647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62"/>
      <c r="AR111" s="406"/>
      <c r="BN111" s="407"/>
    </row>
    <row r="112" ht="39" customHeight="1">
      <c r="A112" s="647"/>
      <c r="B112" s="647"/>
      <c r="C112" s="647"/>
      <c r="D112" s="647"/>
      <c r="E112" s="647"/>
      <c r="F112" s="647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62"/>
      <c r="AR112" s="406"/>
      <c r="BN112" s="407"/>
    </row>
    <row r="113" ht="39" customHeight="1">
      <c r="A113" s="647"/>
      <c r="B113" s="647"/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62"/>
      <c r="AR113" s="406"/>
      <c r="BN113" s="407"/>
    </row>
    <row r="114" ht="39" customHeight="1">
      <c r="A114" s="647"/>
      <c r="B114" s="647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62"/>
      <c r="AR114" s="406"/>
      <c r="BN114" s="407"/>
    </row>
    <row r="115" ht="39" customHeight="1">
      <c r="A115" s="647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6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28:AJ29"/>
    <mergeCell ref="AK26:AK27"/>
    <mergeCell ref="AE23:AF24"/>
    <mergeCell ref="AG23:AH24"/>
    <mergeCell ref="AO16:AP16"/>
    <mergeCell ref="AO18:AP18"/>
    <mergeCell ref="AE20:AQ2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13205.8875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537.75</v>
      </c>
      <c r="V4" s="612">
        <f ref="V4:V21" t="shared" si="0">U4*S4</f>
        <v>537.75</v>
      </c>
      <c r="W4" s="612">
        <f>Table1102[[#This Row],[متطلبات انتاج الشمسيه 2.5]]*Table1102[[#This Row],[سعر]]</f>
        <v>268.875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987.74999999999989</v>
      </c>
      <c r="V5" s="612">
        <f t="shared" si="0"/>
        <v>1975.4999999999998</v>
      </c>
      <c r="W5" s="612">
        <f>Table1102[[#This Row],[متطلبات انتاج الشمسيه 2.5]]*Table1102[[#This Row],[سعر]]</f>
        <v>1975.4999999999998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11007.25</v>
      </c>
      <c r="W22" s="574">
        <f>SUBTOTAL(109,Table1102[2.5])</f>
        <v>10158.375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14859.7875</v>
      </c>
      <c r="W23" s="623">
        <f>IF(تسعير!AI18="قطاعي",Table1102[[#Totals],[2.5]]*1.35,IF(تسعير!AI18="جملة",Table1102[[#Totals],[2.5]]*1.25,IF(تسعير!AI18="نصف جملة",Table1102[[#Totals],[2.5]]*1.3,0)))</f>
        <v>13713.806250000002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50" zoomScale="70" zoomScaleNormal="90" zoomScaleSheetLayoutView="70" zoomScalePageLayoutView="90" workbookViewId="0">
      <selection activeCell="D67" sqref="D67:D74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46002.572431666667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(K6)/$G$83</f>
        <v>0.012182099331310254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(K7)/$G$83</f>
        <v>0.026800618528882558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(K8)/$G$83</f>
        <v>0.016051707354197038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Table1[[#Totals],[اجمالي]]/$G$83</f>
        <v>0.055034425214389851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7" t="s">
        <v>146</v>
      </c>
      <c r="E10" s="687"/>
      <c r="F10" s="687"/>
      <c r="G10" s="687"/>
      <c r="H10" s="687"/>
      <c r="I10" s="687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7" t="s">
        <v>160</v>
      </c>
      <c r="E15" s="687"/>
      <c r="F15" s="687"/>
      <c r="G15" s="687"/>
      <c r="H15" s="687"/>
      <c r="I15" s="687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0.0057327526264989428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0.0035829703915618394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0.0031530139445744183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0.00093157230180607815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0.0014331881566247357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0.00042995644698742071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0.00021497822349371036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0.017198257879496828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0.0032246733524056554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0.035901363323449627</v>
      </c>
    </row>
    <row r="28" ht="21" customHeight="1" s="216" customFormat="1">
      <c r="C28" s="217"/>
      <c r="D28" s="687" t="s">
        <v>183</v>
      </c>
      <c r="E28" s="687"/>
      <c r="F28" s="687"/>
      <c r="G28" s="687"/>
      <c r="H28" s="687"/>
      <c r="I28" s="687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7" t="s">
        <v>187</v>
      </c>
      <c r="E33" s="687"/>
      <c r="F33" s="687"/>
      <c r="G33" s="687"/>
      <c r="H33" s="687"/>
      <c r="I33" s="687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0.00053744555873427586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0.00053744555873427586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0.00089574259789045984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0.0053744555873427588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0.0014331881566247357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0.0056372067493906273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0.0021881712034181235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0.013287701623563622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0.030803308309170212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0.060694665344869086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7" t="s">
        <v>207</v>
      </c>
      <c r="E51" s="687"/>
      <c r="F51" s="687"/>
      <c r="G51" s="687"/>
      <c r="H51" s="687"/>
      <c r="I51" s="687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200</v>
      </c>
      <c r="J53" s="403">
        <f>Table1610[[#This Row],[سعر الكيلو]]*Table1610[[#This Row],[الوزن]]</f>
        <v>350</v>
      </c>
      <c r="K53" s="240">
        <f>B53*J53</f>
        <v>1050</v>
      </c>
      <c r="L53" s="241">
        <f>(Table1610[[#This Row],[اجمالي]])/$G$83</f>
        <v>0.0075242378222798627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0.014331881566247358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3050</v>
      </c>
      <c r="L55" s="244">
        <f>Table1610[[#Totals],[اجمالي]]/$G$83</f>
        <v>0.021856119388527221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7" t="s">
        <v>211</v>
      </c>
      <c r="E56" s="687"/>
      <c r="F56" s="687"/>
      <c r="G56" s="687"/>
      <c r="H56" s="687"/>
      <c r="I56" s="68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3457.9055193732347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3457.9055193732347</v>
      </c>
      <c r="I59" s="579"/>
      <c r="J59" s="580">
        <f>IF((Table1611[[#This Row],[عدد]]&gt;0),'Cutting Ro-1'!O8,0)</f>
        <v>55326.488309971755</v>
      </c>
      <c r="K59" s="581">
        <f>B59*Table1611[[#This Row],[سعر البرجولا كاملة]]</f>
        <v>55326.488309971755</v>
      </c>
      <c r="L59" s="241">
        <f ref="L59:L60" t="shared" si="9">(K59)/$G$83</f>
        <v>0.39646633896744204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55326.488309971755</v>
      </c>
      <c r="K60" s="240">
        <f>B60*Table1611[[#This Row],[سعر البرجولا كاملة]]</f>
        <v>5532.6488309971755</v>
      </c>
      <c r="L60" s="241">
        <f t="shared" si="9"/>
        <v>0.039646633896744207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60859.137140968931</v>
      </c>
      <c r="L61" s="576">
        <f>Table1611[[#Totals],[اجمالي]]/$G$83</f>
        <v>0.43611297286418627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7" t="s">
        <v>220</v>
      </c>
      <c r="E65" s="687"/>
      <c r="F65" s="687"/>
      <c r="G65" s="687"/>
      <c r="H65" s="687"/>
      <c r="I65" s="687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0.0080258536770985191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0.00601939025782389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0.01203878051564778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0.00601939025782389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0.042995644698742071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0.032246733524056555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0.028663763132494715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0.063060278891488367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0.0401292683854926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0.05016158548186575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0.085991289397484141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0.015048475644559725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0.390400453864578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139549.01809334988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181413.72352135484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47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46002.572431678243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340</v>
      </c>
      <c r="K6" s="240">
        <f>B6*J6</f>
        <v>680</v>
      </c>
      <c r="L6" s="241">
        <f>(K6)/$G$85</f>
        <v>0.0042920720398473894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1870</v>
      </c>
      <c r="K7" s="240">
        <f ref="K7:K9" t="shared" si="2">B7*J7</f>
        <v>5610</v>
      </c>
      <c r="L7" s="241">
        <f>(K7)/$G$85</f>
        <v>0.035409594328740968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1130</v>
      </c>
      <c r="K8" s="240">
        <f t="shared" si="2"/>
        <v>2260</v>
      </c>
      <c r="L8" s="241">
        <f>(K8)/$G$85</f>
        <v>0.014264827661845737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2240</v>
      </c>
      <c r="K9" s="240">
        <f t="shared" si="2"/>
        <v>2240</v>
      </c>
      <c r="L9" s="241">
        <f>(K9)/$G$85</f>
        <v>0.014138590248909049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10790</v>
      </c>
      <c r="L10" s="244">
        <f>Table118[[#Totals],[اجمالي]]/$G$85</f>
        <v>0.068105084279343142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7" t="s">
        <v>146</v>
      </c>
      <c r="E11" s="687"/>
      <c r="F11" s="687"/>
      <c r="G11" s="687"/>
      <c r="H11" s="687"/>
      <c r="I11" s="687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7" t="s">
        <v>160</v>
      </c>
      <c r="E16" s="687"/>
      <c r="F16" s="687"/>
      <c r="G16" s="687"/>
      <c r="H16" s="687"/>
      <c r="I16" s="687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0.0025247482587337586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0.0031559353234171983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0.0020829173134553508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0.00082054318408847154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0.0030296979104805105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0.00037871223881006381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0.00012623741293668793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0.0028403417910754787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0.014959133432997521</v>
      </c>
    </row>
    <row r="29" ht="18" s="216" customFormat="1">
      <c r="C29" s="217"/>
      <c r="D29" s="687" t="s">
        <v>183</v>
      </c>
      <c r="E29" s="687"/>
      <c r="F29" s="687"/>
      <c r="G29" s="687"/>
      <c r="H29" s="687"/>
      <c r="I29" s="687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2240</v>
      </c>
      <c r="L31" s="241">
        <f>(K31)/$G$85</f>
        <v>0.014138590248909049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960</v>
      </c>
      <c r="L32" s="251">
        <f>(K32)/$G$85</f>
        <v>0.0060593958209610209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3200</v>
      </c>
      <c r="L33" s="244">
        <f>Table1624[[#Totals],[اجمالي]]/$G$85</f>
        <v>0.020197986069870069</v>
      </c>
    </row>
    <row r="34" ht="18" s="216" customFormat="1">
      <c r="C34" s="217"/>
      <c r="D34" s="687" t="s">
        <v>187</v>
      </c>
      <c r="E34" s="687"/>
      <c r="F34" s="687"/>
      <c r="G34" s="687"/>
      <c r="H34" s="687"/>
      <c r="I34" s="687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0.0075742447762012759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0.002098696990072437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0.016663338507642806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0.028971486268969882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0.00047339029851257975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0.00047339029851257975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0.0015779676617085992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0.0047339029851257977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0.0012623741293668793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0.063828791916112834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7" t="s">
        <v>207</v>
      </c>
      <c r="E52" s="687"/>
      <c r="F52" s="687"/>
      <c r="G52" s="687"/>
      <c r="H52" s="687"/>
      <c r="I52" s="687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200</v>
      </c>
      <c r="J54" s="403">
        <f>Table161027[[#This Row],[سعر الكيلو]]*Table161027[[#This Row],[الوزن]]</f>
        <v>350</v>
      </c>
      <c r="K54" s="240">
        <f ref="K54:K55" t="shared" si="13">B54*J54</f>
        <v>1050</v>
      </c>
      <c r="L54" s="241">
        <f>(Table161027[[#This Row],[اجمالي]])/$G$85</f>
        <v>0.0066274641791761162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0.15148489552402553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25050</v>
      </c>
      <c r="L56" s="241">
        <f>Table161027[[#Totals],[اجمالي]]/$G$85</f>
        <v>0.15811235970320164</v>
      </c>
    </row>
    <row r="57" ht="18" s="216" customFormat="1">
      <c r="C57" s="217"/>
      <c r="D57" s="687" t="s">
        <v>211</v>
      </c>
      <c r="E57" s="687"/>
      <c r="F57" s="687"/>
      <c r="G57" s="687"/>
      <c r="H57" s="687"/>
      <c r="I57" s="687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3464.1555193732347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3464.1555193732347</v>
      </c>
      <c r="I60" s="579"/>
      <c r="J60" s="403">
        <f>IF((Table161128[[#This Row],[عدد]]&gt;0),'Cutting Ro-2'!O8,0)</f>
        <v>55426.488309971755</v>
      </c>
      <c r="K60" s="581">
        <f>Table161128[[#This Row],[عدد]]*Table161128[[#This Row],[سعر البرجولا كاملة]]</f>
        <v>55426.488309971755</v>
      </c>
      <c r="L60" s="241">
        <f>Table161128[[#Totals],[اجمالي]]/$G$85</f>
        <v>0.38482930708290258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55426.488309971755</v>
      </c>
      <c r="K61" s="240">
        <f>Table161128[[#This Row],[عدد]]*Table161128[[#This Row],[سعر البرجولا كاملة]]</f>
        <v>5542.6488309971755</v>
      </c>
      <c r="L61" s="241">
        <f>(K61)/$G$85</f>
        <v>0.034984482462082057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60969.137140968931</v>
      </c>
      <c r="L62" s="576">
        <f>Table161128[[#Totals],[اجمالي]]/$G$85</f>
        <v>0.38482930708290258</v>
      </c>
    </row>
    <row r="63" ht="18" s="216" customFormat="1">
      <c r="C63" s="217"/>
      <c r="D63" s="687" t="s">
        <v>250</v>
      </c>
      <c r="E63" s="687"/>
      <c r="F63" s="687"/>
      <c r="G63" s="687"/>
      <c r="H63" s="687"/>
      <c r="I63" s="687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7" t="s">
        <v>220</v>
      </c>
      <c r="E67" s="687"/>
      <c r="F67" s="687"/>
      <c r="G67" s="687"/>
      <c r="H67" s="687"/>
      <c r="I67" s="687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0.010603942686681786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0.005301971343340893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0.010603942686681786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0.005301971343340893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0.025247482587337586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0.028403417910754784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0.025247482587337586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0.055544461692142694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0.030296979104805104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0.044183094527840777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0.037871223881006381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0.011361367164301915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0.28996733751557219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158431.63714096893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205961.1282832596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5062.5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8" t="s">
        <v>110</v>
      </c>
      <c r="M3" s="68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90">
        <f>NOW()</f>
        <v>46002.57243172454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10</v>
      </c>
      <c r="F4" s="384">
        <f>B4*C4*D4*E4</f>
        <v>3150.0000000000005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0.012632308987929128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0.035296157466272564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0.047928466454201693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0.0049538466619329915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0.0027246156640631453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0.0016100001651282222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0.0024769233309664958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2541.2</v>
      </c>
      <c r="F15" s="387">
        <f>SUBTOTAL(109,Table8[اجمالي التكلفة])</f>
        <v>31765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0.029723079971597947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0.041488465793688804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0.0031622054525338931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0.00055730774946746156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0.00055730774946746156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0.00030961541637081197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0.0018576924982248717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0.00099076933238659835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0.0028175002889743888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0.0059941544609389205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0.013895539886722043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0.030142092835086454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31765</v>
      </c>
      <c r="V50" s="240">
        <f>M50*Table161368[[#This Row],[سعر الشبك ]]</f>
        <v>31765</v>
      </c>
      <c r="W50" s="241">
        <f t="shared" si="6" ca="1"/>
        <v>0.39339734804075366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31765</v>
      </c>
      <c r="V51" s="240">
        <f>M51*Table161368[[#This Row],[سعر الشبك ]]</f>
        <v>3176.5</v>
      </c>
      <c r="W51" s="241">
        <f t="shared" si="6" ca="1"/>
        <v>0.03933973480407537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34941.5</v>
      </c>
      <c r="W52" s="244">
        <f>Table161368[[#Totals],[اجمالي]]/$R$71</f>
        <v>0.43273708284482904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0.0069353853267061878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0.0069353853267061878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0.010403077990059281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0.010403077990059281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0.04953846661932991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0.037153849964497436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0.024769233309664955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0.10898462656252581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0.03467692663353094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0.14861539985798974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0.009288462491124359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0.44770389207219408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80745.333333333328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104968.93333333333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7087.5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8" t="s">
        <v>110</v>
      </c>
      <c r="M3" s="68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90">
        <f>NOW()</f>
        <v>46002.572431747685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13</v>
      </c>
      <c r="F4" s="384">
        <f>B4*C4*D4*E4</f>
        <v>8190.0000000000018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0.040180474950249491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0.040180474950249491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0.0035246030658113588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0.0019385316861962472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0.0011454959963886917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0.0070492061316227176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1870.7857142857145</v>
      </c>
      <c r="F17" s="387">
        <f>SUBTOTAL(109,Table823[اجمالي التكلفة])</f>
        <v>65477.500000000007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0.013657836880019016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0.0098688885842718038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0.0042295236789736306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0.014098412263245435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0.0026669496531305952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0.00039651784490377784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0.00039651784490377784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0.00066086307483962975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0.0039651784490377781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0.0010573809197434077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0.0017623015329056794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0.027139443606747461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0.031721427592302225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0.038330058340698525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0.0015201613022844394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0.0015201613022844394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0.11113696146378176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65477.500000000007</v>
      </c>
      <c r="V50" s="240">
        <f>M50*Table16136845[[#This Row],[سعر الشبك ]]</f>
        <v>65477.500000000007</v>
      </c>
      <c r="W50" s="241">
        <f t="shared" si="6"/>
        <v>0.57695549310415817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65477.500000000007</v>
      </c>
      <c r="V51" s="240">
        <f>M51*Table16136845[[#This Row],[سعر الشبك ]]</f>
        <v>6547.7500000000009</v>
      </c>
      <c r="W51" s="241">
        <f t="shared" si="6"/>
        <v>0.057695549310415817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72025.250000000015</v>
      </c>
      <c r="W52" s="244">
        <f>Table16136845[[#Totals],[اجمالي]]/$R$71</f>
        <v>0.634651042414574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0.0098688885842718038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0.0098688885842718038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0.0049344442921359019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0.0074016664382038529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0.017623015329056795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0.013217261496792594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0.070492061316227178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0.052869045987170377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0.1862752720281303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113487.95666666668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147534.34366666668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65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3577.5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3825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65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65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200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200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25876.5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40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40</v>
      </c>
      <c r="E29" s="314">
        <f>Table12[[#This Row],[سعر]]*Table12[[#This Row],[ميزان]]*Table12[[#This Row],[عدد]]</f>
        <v>4960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7" t="s">
        <v>220</v>
      </c>
      <c r="M29" s="687"/>
      <c r="N29" s="687"/>
      <c r="O29" s="687"/>
      <c r="P29" s="687"/>
      <c r="Q29" s="68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40</v>
      </c>
      <c r="E30" s="314">
        <f>Table12[[#This Row],[سعر]]*Table12[[#This Row],[ميزان]]*Table12[[#This Row],[عدد]]</f>
        <v>2240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57</v>
      </c>
      <c r="E31" s="314">
        <f>Table12[[#This Row],[سعر]]*Table12[[#This Row],[ميزان]]*Table12[[#This Row],[عدد]]</f>
        <v>2166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57</v>
      </c>
      <c r="E32" s="314">
        <f>Table12[[#This Row],[سعر]]*Table12[[#This Row],[ميزان]]*Table12[[#This Row],[عدد]]</f>
        <v>5244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40</v>
      </c>
      <c r="E48" s="342">
        <f>Table12[[#This Row],[سعر]]*Table12[[#This Row],[ميزان]]*Table12[[#This Row],[عدد]]</f>
        <v>2400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70070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40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70070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91091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40</v>
      </c>
      <c r="E52" s="342">
        <f>Table12[[#This Row],[سعر]]*Table12[[#This Row],[ميزان]]*Table12[[#This Row],[عدد]]</f>
        <v>320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29910</v>
      </c>
      <c r="F54" s="345">
        <f>Table12[[#Totals],[Column5]]/(تسعير!T54*تسعير!T55/10000)</f>
        <v>1196.4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40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40</v>
      </c>
      <c r="E62" s="314">
        <f>Table1257[[#This Row],[سعر]]*Table1257[[#This Row],[ميزان]]*Table1257[[#This Row],[عدد]]</f>
        <v>4960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7" t="s">
        <v>220</v>
      </c>
      <c r="M62" s="687"/>
      <c r="N62" s="687"/>
      <c r="O62" s="687"/>
      <c r="P62" s="687"/>
      <c r="Q62" s="687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40</v>
      </c>
      <c r="E63" s="314">
        <f>Table1257[[#This Row],[سعر]]*Table1257[[#This Row],[ميزان]]*Table1257[[#This Row],[عدد]]</f>
        <v>2240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57</v>
      </c>
      <c r="E64" s="314">
        <f>Table1257[[#This Row],[سعر]]*Table1257[[#This Row],[ميزان]]*Table1257[[#This Row],[عدد]]</f>
        <v>6498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57</v>
      </c>
      <c r="E65" s="314">
        <f>Table1257[[#This Row],[سعر]]*Table1257[[#This Row],[ميزان]]*Table1257[[#This Row],[عدد]]</f>
        <v>5244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40</v>
      </c>
      <c r="E82" s="342">
        <f>Table1257[[#This Row],[سعر]]*Table1257[[#This Row],[ميزان]]*Table1257[[#This Row],[عدد]]</f>
        <v>2400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78928.5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78928.5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40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102607.05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40</v>
      </c>
      <c r="E86" s="342">
        <f>Table1257[[#This Row],[سعر]]*Table1257[[#This Row],[ميزان]]*Table1257[[#This Row],[عدد]]</f>
        <v>320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36508.5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1" t="s">
        <v>93</v>
      </c>
      <c r="BH1" s="682"/>
      <c r="BI1" s="683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4"/>
      <c r="M2" s="685"/>
      <c r="N2" s="68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4"/>
      <c r="BH2" s="685"/>
      <c r="BI2" s="68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78016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8" t="s">
        <v>110</v>
      </c>
      <c r="M3" s="68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90">
        <f>NOW()</f>
        <v>46002.5724318287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60950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8" t="s">
        <v>110</v>
      </c>
      <c r="BH3" s="68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90">
        <f>NOW()</f>
        <v>46002.5724318287</v>
      </c>
      <c r="BN3" s="691"/>
      <c r="BO3" s="691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8056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4505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7" t="s">
        <v>113</v>
      </c>
      <c r="BK4" s="687"/>
      <c r="BL4" s="687"/>
      <c r="BM4" s="687"/>
      <c r="BN4" s="687"/>
      <c r="BO4" s="687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11077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3604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3604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0.00991886002715723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0.00991886002715723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4955.5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0.025754233052969647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0.025754233052969647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1378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0.030626655522450395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0.030626655522450395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0.066299748602577271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0.066299748602577271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7" t="s">
        <v>160</v>
      </c>
      <c r="P12" s="687"/>
      <c r="Q12" s="687"/>
      <c r="R12" s="687"/>
      <c r="S12" s="687"/>
      <c r="T12" s="687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7" t="s">
        <v>160</v>
      </c>
      <c r="BK12" s="687"/>
      <c r="BL12" s="687"/>
      <c r="BM12" s="687"/>
      <c r="BN12" s="687"/>
      <c r="BO12" s="687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0.0034803017639148176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4915.9275</v>
      </c>
      <c r="AX14" s="194"/>
      <c r="AY14" s="194"/>
      <c r="AZ14" s="194"/>
      <c r="BA14" s="194">
        <f>SUBTOTAL(109,Table8091[price])</f>
        <v>89380.5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0.0034803017639148176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0.00095708298507657483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0.00095708298507657483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0.0005655490366361578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0.0005655490366361578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0.0034803017639148176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0.0034803017639148176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0.0084832355495423669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0.0084832355495423669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7" t="s">
        <v>183</v>
      </c>
      <c r="P20" s="687"/>
      <c r="Q20" s="687"/>
      <c r="R20" s="687"/>
      <c r="S20" s="687"/>
      <c r="T20" s="687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7" t="s">
        <v>183</v>
      </c>
      <c r="BK20" s="687"/>
      <c r="BL20" s="687"/>
      <c r="BM20" s="687"/>
      <c r="BN20" s="687"/>
      <c r="BO20" s="687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0.0041763621166977811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0.0041763621166977811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0.0024362112347403723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0.0024362112347403723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8106.48774509804</v>
      </c>
      <c r="C24" s="194"/>
      <c r="D24" s="194"/>
      <c r="E24" s="194"/>
      <c r="F24" s="194">
        <f>SUBTOTAL(109,Table80102114[price])</f>
        <v>150338.5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0.0010440905291744453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0.0010440905291744453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0.0076566638806125987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0.0076566638806125987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7" t="s">
        <v>187</v>
      </c>
      <c r="P26" s="687"/>
      <c r="Q26" s="687"/>
      <c r="R26" s="687"/>
      <c r="S26" s="687"/>
      <c r="T26" s="68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7" t="s">
        <v>187</v>
      </c>
      <c r="BK26" s="687"/>
      <c r="BL26" s="687"/>
      <c r="BM26" s="687"/>
      <c r="BN26" s="687"/>
      <c r="BO26" s="68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0.0044895892754501145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0.00032627829036701412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0.00023492036906425017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0.00032627829036701412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0.00023492036906425017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0.00017401508819574088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0.00010875943012233805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0.00065255658073402824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0.00065255658073402824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0.00034803017639148176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0.00034803017639148176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0.012442078805995472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0.0033062866757190765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0.0016531433378595382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0.017749538995965569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0.031322715875233359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0.037848281682573641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0.0041328583446488456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0.0041328583446488456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0.080669044510340571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0.039814652179185513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7" t="s">
        <v>250</v>
      </c>
      <c r="BK44" s="687"/>
      <c r="BL44" s="687"/>
      <c r="BM44" s="687"/>
      <c r="BN44" s="687"/>
      <c r="BO44" s="68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7" t="s">
        <v>250</v>
      </c>
      <c r="P45" s="687"/>
      <c r="Q45" s="687"/>
      <c r="R45" s="687"/>
      <c r="S45" s="687"/>
      <c r="T45" s="68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89380.5</v>
      </c>
      <c r="BQ46" s="252">
        <f>BH46*Table1613687787[[#This Row],[سعر الشبك ]]</f>
        <v>89380.5</v>
      </c>
      <c r="BR46" s="241">
        <f>(BQ46)/$R$68</f>
        <v>0.38883888976198544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150338.5</v>
      </c>
      <c r="V47" s="252">
        <f>M47*Table16136877[[#This Row],[سعر الشبك ]]</f>
        <v>150338.5</v>
      </c>
      <c r="W47" s="241">
        <f>(V47)/$R$68</f>
        <v>0.65402918341788474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89380.5</v>
      </c>
      <c r="BQ47" s="240">
        <f>BH47*Table1613687787[[#This Row],[سعر الشبك ]]</f>
        <v>8938.0500000000011</v>
      </c>
      <c r="BR47" s="241">
        <f>(BQ47)/$R$68</f>
        <v>0.038883888976198544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150338.5</v>
      </c>
      <c r="V48" s="240">
        <f>M48*Table16136877[[#This Row],[سعر الشبك ]]</f>
        <v>37584.625</v>
      </c>
      <c r="W48" s="241">
        <f>(V48)/$R$68</f>
        <v>0.16350729585447119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98318.55</v>
      </c>
      <c r="BR48" s="244">
        <f>Table1613687787[[#Totals],[اجمالي]]/$R$68</f>
        <v>0.427722778738184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187923.125</v>
      </c>
      <c r="W49" s="244">
        <f>Table16136877[[#Totals],[اجمالي]]/$R$68</f>
        <v>0.817536479272356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7" t="s">
        <v>220</v>
      </c>
      <c r="BK49" s="687"/>
      <c r="BL49" s="687"/>
      <c r="BM49" s="687"/>
      <c r="BN49" s="687"/>
      <c r="BO49" s="68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7" t="s">
        <v>220</v>
      </c>
      <c r="P50" s="687"/>
      <c r="Q50" s="687"/>
      <c r="R50" s="687"/>
      <c r="S50" s="687"/>
      <c r="T50" s="68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0.0024362112347403723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0.0024362112347403723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0.0024362112347403723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0.0024362112347403723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0.0073086337042211165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0.0073086337042211165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0.017401508819574089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0.011136965644527416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0.013051131614680566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0.0083527242333955622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0.017401508819574089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0.011136965644527416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0.030626655522450395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0.015661357937616679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0.052204526458722263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0.017401508819574089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0.0045678960651381979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0.16309564141145813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0.060209220515726344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173301.55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229865.125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225292.01499999999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344797.6875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2" t="s">
        <v>93</v>
      </c>
      <c r="BH71" s="682"/>
      <c r="BI71" s="682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2" t="s">
        <v>93</v>
      </c>
      <c r="M72" s="682"/>
      <c r="N72" s="682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40000</v>
      </c>
      <c r="T73" s="293">
        <f>Sheet2!B13</f>
        <v>45000</v>
      </c>
      <c r="U73" s="293">
        <f>Sheet2!B14</f>
        <v>200000</v>
      </c>
      <c r="V73" s="293">
        <f>Sheet2!B15</f>
        <v>65000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91">
        <f>NOW()</f>
        <v>46002.5724319213</v>
      </c>
      <c r="BN73" s="691"/>
      <c r="BO73" s="69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91">
        <f>NOW()</f>
        <v>46002.5724319213</v>
      </c>
      <c r="S74" s="691"/>
      <c r="T74" s="691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60950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7" t="s">
        <v>113</v>
      </c>
      <c r="BK74" s="687"/>
      <c r="BL74" s="687"/>
      <c r="BM74" s="687"/>
      <c r="BN74" s="687"/>
      <c r="BO74" s="68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7" t="s">
        <v>113</v>
      </c>
      <c r="P75" s="687"/>
      <c r="Q75" s="687"/>
      <c r="R75" s="687"/>
      <c r="S75" s="687"/>
      <c r="T75" s="687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4505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28979.999999999996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3604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0.029234534816884466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5984.9999999999991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0.058469069633768932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0.025754233052969647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5129.9999999999991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0.019315674789727236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0.030626655522450395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2677.5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0.022969991641837797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2295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1023.75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0.0856154233923045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0.10075473606533396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7" t="s">
        <v>160</v>
      </c>
      <c r="BK82" s="687"/>
      <c r="BL82" s="687"/>
      <c r="BM82" s="687"/>
      <c r="BN82" s="687"/>
      <c r="BO82" s="687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7" t="s">
        <v>160</v>
      </c>
      <c r="P83" s="687"/>
      <c r="Q83" s="687"/>
      <c r="R83" s="687"/>
      <c r="S83" s="687"/>
      <c r="T83" s="687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0.0052204526458722259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0.0034803017639148176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4915.9275</v>
      </c>
      <c r="AX85" s="300"/>
      <c r="AY85" s="300"/>
      <c r="AZ85" s="300"/>
      <c r="BA85" s="300">
        <f>SUBTOTAL(109,Table80102113[price])</f>
        <v>89380.5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0.00095708298507657483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0.00095708298507657483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0.0005655490366361578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0.0005655490366361578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0.0020881810583488905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0.020881810583488904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0.0088312657259338491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0.025884744369116454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7" t="s">
        <v>183</v>
      </c>
      <c r="BK90" s="687"/>
      <c r="BL90" s="687"/>
      <c r="BM90" s="687"/>
      <c r="BN90" s="687"/>
      <c r="BO90" s="687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7" t="s">
        <v>183</v>
      </c>
      <c r="P91" s="687"/>
      <c r="Q91" s="687"/>
      <c r="R91" s="687"/>
      <c r="S91" s="687"/>
      <c r="T91" s="687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0.0083527242333955622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0.0020881810583488905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0.010440905291744452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7" t="s">
        <v>187</v>
      </c>
      <c r="BK96" s="687"/>
      <c r="BL96" s="687"/>
      <c r="BM96" s="687"/>
      <c r="BN96" s="687"/>
      <c r="BO96" s="68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9755.7841435185182</v>
      </c>
      <c r="C97" s="194"/>
      <c r="D97" s="194"/>
      <c r="E97" s="194"/>
      <c r="F97" s="194">
        <f>SUBTOTAL(109,Table80102114115[price])</f>
        <v>76627.25</v>
      </c>
      <c r="L97" s="216"/>
      <c r="M97" s="216"/>
      <c r="N97" s="217"/>
      <c r="O97" s="687" t="s">
        <v>187</v>
      </c>
      <c r="P97" s="687"/>
      <c r="Q97" s="687"/>
      <c r="R97" s="687"/>
      <c r="S97" s="687"/>
      <c r="T97" s="68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0.00023492036906425017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0.00032627829036701412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0.00023492036906425017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0.00032627829036701412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0.00010875943012233805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0.00017401508819574088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0.00065255658073402824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0.00065255658073402824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0.00034803017639148176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0.00034803017639148176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0.0016531433378595382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0.0016531433378595382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0.0391533948440417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0.047310352103217053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0.0391533948440417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0.0041328583446488456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0.047310352103217053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0.0041328583446488456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0.0041328583446488456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0.097961793899792329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0.0940769070558224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7" t="s">
        <v>250</v>
      </c>
      <c r="BK115" s="687"/>
      <c r="BL115" s="687"/>
      <c r="BM115" s="687"/>
      <c r="BN115" s="687"/>
      <c r="BO115" s="68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7" t="s">
        <v>250</v>
      </c>
      <c r="P116" s="687"/>
      <c r="Q116" s="687"/>
      <c r="R116" s="687"/>
      <c r="S116" s="687"/>
      <c r="T116" s="68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89380.5</v>
      </c>
      <c r="BQ117" s="252">
        <f>BH117*Table1613687798109[[#This Row],[سعر الشبك ]]</f>
        <v>89380.5</v>
      </c>
      <c r="BR117" s="241">
        <f>(BQ117)/$R$68</f>
        <v>0.38883888976198544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76627.25</v>
      </c>
      <c r="V118" s="252">
        <f>M118*Table1613687798[[#This Row],[سعر الشبك ]]</f>
        <v>76627.25</v>
      </c>
      <c r="W118" s="241">
        <f>(V118)/$R$68</f>
        <v>0.33335744167367709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89380.5</v>
      </c>
      <c r="BQ118" s="240">
        <f>BH118*Table1613687798109[[#This Row],[سعر الشبك ]]</f>
        <v>8938.0500000000011</v>
      </c>
      <c r="BR118" s="241">
        <f>(BQ118)/$R$68</f>
        <v>0.038883888976198544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76627.25</v>
      </c>
      <c r="V119" s="240">
        <f>M119*Table1613687798[[#This Row],[سعر الشبك ]]</f>
        <v>7662.725</v>
      </c>
      <c r="W119" s="241">
        <f>(V119)/$R$68</f>
        <v>0.03333574416736771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98318.55</v>
      </c>
      <c r="BR119" s="244">
        <f>Table1613687798109[[#Totals],[اجمالي]]/$R$68</f>
        <v>0.427722778738184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84289.975</v>
      </c>
      <c r="W120" s="244">
        <f>Table1613687798[[#Totals],[اجمالي]]/$R$68</f>
        <v>0.36669318584104488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7" t="s">
        <v>220</v>
      </c>
      <c r="BK120" s="687"/>
      <c r="BL120" s="687"/>
      <c r="BM120" s="687"/>
      <c r="BN120" s="687"/>
      <c r="BO120" s="68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7" t="s">
        <v>220</v>
      </c>
      <c r="P121" s="687"/>
      <c r="Q121" s="687"/>
      <c r="R121" s="687"/>
      <c r="S121" s="687"/>
      <c r="T121" s="68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0.0024362112347403723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0.0024362112347403723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0.0024362112347403723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0.0024362112347403723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0.0073086337042211165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0.0073086337042211165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0.017401508819574089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0.017401508819574089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0.013051131614680566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0.013051131614680566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0.017401508819574089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0.017401508819574089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0.038283319403062989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0.038283319403062989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0.015661357937616679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0.015661357937616679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0.052204526458722263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0.052204526458722263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0.0045678960651381979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0.0045678960651381979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0.17075230529207072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0.17075230529207072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184196.55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174274.975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239455.51499999999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226557.46750000003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2025-11-04T06:50:11Z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