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<sst xmlns="http://schemas.openxmlformats.org/spreadsheetml/2006/main" count="598" uniqueCount="598">
  <si>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</si>
  <si>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</si>
  <si>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</si>
  <si>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</si>
  <si>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</si>
  <si>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</si>
  <si>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</si>
  <si>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</si>
  <si>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</si>
  <si>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</si>
  <si>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</si>
  <si>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</si>
  <si>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</si>
  <si>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</si>
  <si>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</si>
  <si>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</si>
  <si>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</si>
  <si>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</si>
  <si>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</si>
  <si>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</si>
  <si>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</si>
  <si>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</si>
  <si>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</si>
  <si>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</si>
  <si>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</si>
  <si>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</si>
  <si>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</si>
  <si>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</si>
  <si>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</si>
  <si>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</si>
  <si>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</si>
  <si>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</si>
  <si>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</si>
  <si>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</si>
  <si>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</si>
  <si>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</si>
  <si>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</si>
  <si>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</si>
  <si>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</si>
  <si>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</si>
  <si>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</si>
  <si>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</si>
  <si>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</si>
  <si>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</si>
  <si>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</si>
  <si>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</si>
  <si>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</si>
  <si>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</si>
  <si>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</si>
  <si>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</si>
  <si>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</si>
  <si>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</si>
  <si>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</si>
  <si>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</si>
  <si>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</si>
  <si>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</si>
  <si>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</si>
  <si>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</si>
  <si>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</si>
  <si>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</si>
  <si>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</si>
  <si>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</si>
  <si>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</si>
  <si>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</si>
  <si>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</si>
  <si>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</si>
  <si>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</si>
  <si>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</si>
  <si>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</si>
  <si>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</si>
  <si>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</si>
  <si>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</si>
  <si>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</si>
  <si>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</si>
  <si>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</si>
  <si>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</si>
  <si>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</si>
  <si>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</si>
  <si>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</si>
  <si>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</si>
  <si>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</si>
  <si>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</si>
  <si>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</si>
  <si>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</si>
  <si>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</si>
  <si>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</si>
  <si>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</si>
  <si>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</si>
  <si>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</si>
  <si>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</si>
  <si>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</si>
  <si>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</si>
  <si>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</si>
  <si>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</si>
  <si>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</si>
  <si>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</si>
  <si>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</si>
  <si>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</si>
  <si>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</si>
  <si>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</si>
  <si>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</si>
  <si>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</si>
  <si>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</si>
  <si>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</si>
  <si>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</si>
  <si>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</si>
  <si>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</si>
  <si>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</si>
  <si>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</si>
  <si>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</si>
  <si>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</si>
  <si>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</si>
  <si>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</si>
  <si>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</si>
  <si>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</si>
  <si>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</si>
  <si>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</si>
  <si>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</si>
  <si>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</si>
  <si>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</si>
  <si>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</si>
  <si>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</si>
  <si>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</si>
  <si>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</si>
  <si>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</si>
  <si>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</si>
  <si>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</si>
  <si>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</si>
  <si>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</si>
  <si>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</si>
  <si>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</si>
  <si>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</si>
  <si>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</si>
  <si>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</si>
  <si>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</si>
  <si>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</si>
  <si>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</si>
  <si>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</si>
  <si>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</si>
  <si>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</si>
  <si>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</si>
  <si>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</si>
  <si>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</si>
  <si>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</si>
  <si>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</si>
  <si>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</si>
  <si>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</si>
  <si>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</si>
  <si>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</si>
  <si>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</si>
  <si>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</si>
  <si>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</si>
  <si>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</si>
  <si>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</si>
  <si>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</si>
  <si>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</si>
  <si>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</si>
  <si>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</si>
  <si>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</si>
  <si>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</si>
  <si>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</si>
  <si>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</si>
  <si>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</si>
  <si>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</si>
  <si>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</si>
  <si>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</si>
  <si>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</si>
  <si>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A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</si>
  <si>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</si>
  <si>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</si>
  <si>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</si>
  <si>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</si>
  <si>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</si>
  <si>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</si>
  <si>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</si>
  <si>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</si>
  <si>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</si>
  <si>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</si>
  <si>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</si>
  <si>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</si>
  <si>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</si>
  <si>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</si>
  <si>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</si>
  <si>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</si>
  <si>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</si>
  <si>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</si>
  <si>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</si>
  <si>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</si>
  <si>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</si>
  <si>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</si>
  <si>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</si>
  <si>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</si>
  <si>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</si>
  <si>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</si>
  <si>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</si>
  <si>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</si>
  <si>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</si>
  <si>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خشبي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</si>
  <si>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</si>
  <si>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</si>
  <si>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</si>
  <si>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</si>
  <si>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</si>
  <si>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</si>
  <si>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بالتات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</si>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</sst>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168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167</v>
      </c>
      <c r="C2" s="495" t="s">
        <v>169</v>
      </c>
      <c r="D2" s="496" t="s">
        <v>204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197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167</v>
      </c>
      <c r="C5" s="495" t="s">
        <v>169</v>
      </c>
      <c r="D5" s="496" t="s">
        <v>204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197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114935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1200</v>
      </c>
      <c r="D7" s="182" t="s">
        <v>428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 (2)'!B9</f>
        <v>5</v>
      </c>
    </row>
    <row r="19" ht="18" customHeight="1">
      <c r="A19" s="648" t="s">
        <v>435</v>
      </c>
      <c r="B19" s="649"/>
      <c r="C19" s="14">
        <f>'Format Φωτισμου (2)'!B12</f>
        <v>35</v>
      </c>
    </row>
    <row r="20" ht="18" customHeight="1">
      <c r="A20" s="648" t="s">
        <v>436</v>
      </c>
      <c r="B20" s="649"/>
      <c r="C20" s="14">
        <f>C19/C18</f>
        <v>7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4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312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1200</v>
      </c>
      <c r="L6" s="759"/>
      <c r="M6" s="94" t="s">
        <v>366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96</v>
      </c>
      <c r="L7" s="732"/>
      <c r="M7" s="732"/>
      <c r="N7" s="98" t="s">
        <v>368</v>
      </c>
      <c r="O7" s="99">
        <f>AA41/K7</f>
        <v>2133.1235057477479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1199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204779.8565517838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4</v>
      </c>
      <c r="H11" s="743"/>
      <c r="I11" s="744">
        <f>'Format διαστασης οδηγου (2)'!F8</f>
        <v>765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4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34937.212121212156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9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7306.0465116278974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>
        <f>IF(L11&lt;=3,"0",(L11-3)*2)</f>
        <v>2</v>
      </c>
      <c r="H13" s="718"/>
      <c r="I13" s="719">
        <f>IF(G13="-------","-------",L17-5)</f>
        <v>392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3653.0232558139487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24</v>
      </c>
      <c r="H14" s="718"/>
      <c r="I14" s="719">
        <f>I12</f>
        <v>398.5</v>
      </c>
      <c r="J14" s="719"/>
      <c r="K14" s="106"/>
      <c r="L14" s="109">
        <f>تسجيل2!H28</f>
        <v>12</v>
      </c>
      <c r="M14" s="110" t="s">
        <v>287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24736.551724137826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>
        <f>IF(L11&lt;=3,"0",(L11-3)*L14)</f>
        <v>12</v>
      </c>
      <c r="H15" s="718"/>
      <c r="I15" s="719">
        <f>IF(G15="-------","---------",I13)</f>
        <v>392</v>
      </c>
      <c r="J15" s="719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12368.275862068913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1366.9743589743639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400.5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397</v>
      </c>
      <c r="M17" s="727"/>
      <c r="N17" s="727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1366.9743589743639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>
        <f>IF(L11&lt;=3,"0",(L11-3))</f>
        <v>1</v>
      </c>
      <c r="H18" s="718"/>
      <c r="I18" s="719">
        <f>IF(G18="-------","-------",L17)</f>
        <v>397</v>
      </c>
      <c r="J18" s="719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1366.9743589743639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1197.5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3</v>
      </c>
      <c r="H20" s="724"/>
      <c r="I20" s="719">
        <f>L17-7</f>
        <v>390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4851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4</v>
      </c>
      <c r="H21" s="710"/>
      <c r="I21" s="711">
        <f>(I11*2)+45</f>
        <v>1575</v>
      </c>
      <c r="J21" s="711"/>
      <c r="K21" s="106"/>
      <c r="L21" s="112">
        <f>IF(Format!E7=1,"-------",IF(Format!E7=5,"-------",تسجيل2!H30))</f>
        <v>4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175</v>
      </c>
      <c r="X21" s="144">
        <f>W21*V21</f>
        <v>11025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98127.0325517838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4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4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12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8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48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28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28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12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12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4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>
        <f>IF(L11&gt;2,(L11-2)*L14,"0")</f>
        <v>24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76107.1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204779.8565517838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82">
        <f>N8</f>
        <v>772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1200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800</v>
      </c>
      <c r="D31" s="34" t="s">
        <v>347</v>
      </c>
      <c r="E31" s="36">
        <f>H34</f>
        <v>12</v>
      </c>
      <c r="F31" s="34"/>
      <c r="G31" s="34"/>
      <c r="H31" s="35"/>
      <c r="I31" s="764" t="s">
        <v>346</v>
      </c>
      <c r="J31" s="765"/>
      <c r="K31" s="36">
        <f>B19</f>
        <v>800</v>
      </c>
      <c r="L31" s="34" t="s">
        <v>347</v>
      </c>
      <c r="M31" s="36">
        <f>P34</f>
        <v>10</v>
      </c>
      <c r="N31" s="15"/>
      <c r="O31" s="34"/>
      <c r="P31" s="35"/>
      <c r="Q31" s="766" t="s">
        <v>346</v>
      </c>
      <c r="R31" s="767"/>
      <c r="S31" s="57">
        <f>B19</f>
        <v>800</v>
      </c>
      <c r="T31" s="47" t="s">
        <v>348</v>
      </c>
      <c r="U31" s="57">
        <f>INT((S31-4)/25)+1</f>
        <v>32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83"/>
      <c r="B7" s="784"/>
      <c r="C7" s="19" t="s">
        <v>278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87"/>
      <c r="B15" s="788"/>
      <c r="C15" s="10" t="s">
        <v>276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93"/>
      <c r="B24" s="794"/>
      <c r="C24" s="10" t="s">
        <v>276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95"/>
      <c r="B25" s="796"/>
      <c r="C25" s="19" t="s">
        <v>278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1200</v>
      </c>
      <c r="J4" s="15">
        <v>4</v>
      </c>
      <c r="K4" s="15">
        <v>2</v>
      </c>
    </row>
    <row r="5">
      <c r="A5" s="1" t="s">
        <v>257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283</v>
      </c>
      <c r="B6" s="1">
        <f>'Cutting Ro-2'!L14</f>
        <v>12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288</v>
      </c>
      <c r="B9" s="1">
        <f>O8</f>
        <v>5</v>
      </c>
      <c r="J9" s="15">
        <v>9</v>
      </c>
      <c r="K9" s="15">
        <v>4</v>
      </c>
    </row>
    <row r="10">
      <c r="A10" s="12" t="s">
        <v>289</v>
      </c>
      <c r="B10" s="13">
        <f>(((B4-(تسجيل2!C22*2))/200)+1)*B9</f>
        <v>32.5</v>
      </c>
      <c r="C10" s="647" t="s">
        <v>290</v>
      </c>
      <c r="D10" s="647"/>
      <c r="E10" s="14">
        <f>ROUND(B10,0)</f>
        <v>33</v>
      </c>
      <c r="J10" s="15">
        <v>10</v>
      </c>
      <c r="K10" s="15">
        <v>4</v>
      </c>
    </row>
    <row r="11">
      <c r="A11" s="12" t="s">
        <v>291</v>
      </c>
      <c r="B11" s="13">
        <f>E10/B9</f>
        <v>6.6</v>
      </c>
      <c r="C11" s="647" t="s">
        <v>290</v>
      </c>
      <c r="D11" s="647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292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 t="str">
        <f>IF((BG14="OK"),wavy2!R72,"R")</f>
        <v>R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 t="e">
        <f>BE2/(BG10*BL12)*10000</f>
        <v>#VALUE!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167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168</v>
      </c>
      <c r="T6" s="522" t="s">
        <v>169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170</v>
      </c>
      <c r="AJ6" s="458" t="s">
        <v>171</v>
      </c>
      <c r="AK6" s="459" t="s">
        <v>172</v>
      </c>
      <c r="AL6" s="458" t="s">
        <v>173</v>
      </c>
      <c r="AM6" s="458" t="s">
        <v>174</v>
      </c>
      <c r="AN6" s="460" t="s">
        <v>175</v>
      </c>
      <c r="AO6" s="627" t="s">
        <v>176</v>
      </c>
      <c r="AP6" s="628"/>
      <c r="AQ6" s="407"/>
      <c r="AR6" s="406"/>
      <c r="AS6" s="420" t="s">
        <v>168</v>
      </c>
      <c r="AT6" s="421" t="s">
        <v>169</v>
      </c>
      <c r="AU6" s="467"/>
      <c r="AV6" s="467"/>
      <c r="AW6" s="467"/>
      <c r="AX6" s="467"/>
      <c r="AY6" s="467"/>
      <c r="AZ6" s="467"/>
      <c r="BA6" s="467"/>
      <c r="BB6" s="467"/>
      <c r="BD6" s="482" t="s">
        <v>168</v>
      </c>
      <c r="BE6" s="487" t="s">
        <v>169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169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4000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191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برجاء مراجعة عرض البرجولة علما بأن اقصي عرض هو 500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192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193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194</v>
      </c>
      <c r="AT21" s="408"/>
      <c r="AU21" s="471"/>
      <c r="AW21" s="477"/>
      <c r="BC21" s="406"/>
      <c r="BD21" s="408" t="s">
        <v>195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>
        <f>Royal2!G85</f>
        <v>523757.44486905087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>
        <f>T22/(AA33*X31)*10000</f>
        <v>5455.8067173859472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166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167</v>
      </c>
      <c r="AW25" s="485">
        <f>AT34</f>
        <v>400</v>
      </c>
      <c r="BD25" s="418" t="s">
        <v>165</v>
      </c>
      <c r="BE25" s="419" t="s">
        <v>167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168</v>
      </c>
      <c r="T26" s="439" t="s">
        <v>169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170</v>
      </c>
      <c r="AH26" s="613" t="s">
        <v>196</v>
      </c>
      <c r="AI26" s="592" t="s">
        <v>173</v>
      </c>
      <c r="AJ26" s="592" t="s">
        <v>174</v>
      </c>
      <c r="AK26" s="592" t="s">
        <v>175</v>
      </c>
      <c r="AL26" s="603" t="s">
        <v>176</v>
      </c>
      <c r="AM26" s="603"/>
      <c r="AN26" s="407"/>
      <c r="AO26" s="407"/>
      <c r="AP26" s="407"/>
      <c r="AQ26" s="407"/>
      <c r="AR26" s="406"/>
      <c r="AS26" s="420" t="s">
        <v>168</v>
      </c>
      <c r="AT26" s="421" t="s">
        <v>197</v>
      </c>
      <c r="BD26" s="420" t="s">
        <v>168</v>
      </c>
      <c r="BE26" s="421" t="s">
        <v>197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198</v>
      </c>
      <c r="AH28" s="590" t="s">
        <v>199</v>
      </c>
      <c r="AI28" s="590" t="s">
        <v>169</v>
      </c>
      <c r="AJ28" s="590" t="s">
        <v>200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201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202</v>
      </c>
      <c r="T31" s="442"/>
      <c r="U31" s="443" t="s">
        <v>185</v>
      </c>
      <c r="V31" s="405"/>
      <c r="W31" s="405"/>
      <c r="X31" s="444">
        <v>800</v>
      </c>
      <c r="Y31" s="405"/>
      <c r="Z31" s="405"/>
      <c r="AA31" s="405"/>
      <c r="AB31" s="405"/>
      <c r="AC31" s="405"/>
      <c r="AD31" s="406"/>
      <c r="AE31" s="588" t="s">
        <v>203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204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204</v>
      </c>
      <c r="BA32" s="476"/>
      <c r="BD32" s="430" t="s">
        <v>187</v>
      </c>
      <c r="BE32" s="426" t="s">
        <v>204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1200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167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168</v>
      </c>
      <c r="AT46" s="421" t="s">
        <v>197</v>
      </c>
      <c r="AX46" s="485">
        <f>AT54</f>
        <v>400</v>
      </c>
      <c r="BD46" s="420" t="s">
        <v>168</v>
      </c>
      <c r="BE46" s="421" t="s">
        <v>197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204</v>
      </c>
      <c r="BA52" s="476"/>
      <c r="BD52" s="430" t="s">
        <v>187</v>
      </c>
      <c r="BE52" s="426" t="s">
        <v>204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167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2366E4DB-9F11-41F5-9562-402558CB9025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577A07A2-E1D7-48AC-9A8C-6B6BDE9B5AD8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CEFA63AB-6D92-478B-A0F1-4F087418BC24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B95031F9-7761-46A3-88BF-726676F178EE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5D5967F3-027E-4971-AD82-313A1D9414E8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70E917BC-5081-41D0-AC52-BE5A9DC37DB2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D5B26430-33BD-4B2D-B33C-734327C3EE8B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C65B7C16-B86A-47D4-A6CA-B88F97C6BA71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6204FCD4-A672-4816-B382-2CA49E6451E4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26D1A7B1-2D29-43A4-80E0-1E910139E6DD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26A7CBFF-CDAA-4D25-A6FD-385855DE9CD4}">
          <x14:formula1>
            <xm:f>wavy2!$A$19:$A$20</xm:f>
          </x14:formula1>
          <xm:sqref>BE9</xm:sqref>
        </x14:dataValidation>
        <x14:dataValidation type="list" allowBlank="1" showInputMessage="1" showErrorMessage="1" xr:uid="{B1ACDE1F-854D-4915-A09C-8A756C778695}">
          <x14:formula1>
            <xm:f>wavy1!$A$19:$A$20</xm:f>
          </x14:formula1>
          <xm:sqref>AT9</xm:sqref>
        </x14:dataValidation>
        <x14:dataValidation type="list" allowBlank="1" showInputMessage="1" showErrorMessage="1" xr:uid="{7C4FB8C7-1345-4A19-B1A1-04F630D2B44A}">
          <x14:formula1>
            <xm:f>Sheet2!$B$5:$B$7</xm:f>
          </x14:formula1>
          <xm:sqref>T25 T46 T64</xm:sqref>
        </x14:dataValidation>
        <x14:dataValidation type="list" allowBlank="1" showInputMessage="1" showErrorMessage="1" xr:uid="{3D8DFE62-76A5-4D7C-8DE5-DAEB0A1201B8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508B7336-1E24-498C-8E6F-4754069A333C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A6036FDB-4A15-4128-AC44-804B1A2F7958}">
          <x14:formula1>
            <xm:f>Sheet2!$C$5:$C$6</xm:f>
          </x14:formula1>
          <xm:sqref>T26</xm:sqref>
        </x14:dataValidation>
        <x14:dataValidation type="list" allowBlank="1" showInputMessage="1" showErrorMessage="1" xr:uid="{E8F3ECA4-1B0C-4859-AB4B-CA53FBCE7A5C}">
          <x14:formula1>
            <xm:f>Sheet2!$A$5</xm:f>
          </x14:formula1>
          <xm:sqref>U31</xm:sqref>
        </x14:dataValidation>
        <x14:dataValidation type="list" allowBlank="1" showInputMessage="1" showErrorMessage="1" xr:uid="{B60BCCD8-4BA9-4F5B-BBB9-AE0664E1BBF2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C2B8D34-470B-4D60-B32C-E124ED9594DD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277991B8-DAF3-4DBB-9643-AE3D09BB5EDF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1D31883-FC61-461B-AC79-4A5C0E8B89C3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779A26AF-CD81-4F6C-BA9E-86839F6FC43A}">
          <x14:formula1>
            <xm:f>Sheet2!$D$5:$D$6</xm:f>
          </x14:formula1>
          <xm:sqref>T32 T53 T71</xm:sqref>
        </x14:dataValidation>
        <x14:dataValidation type="list" allowBlank="1" showInputMessage="1" showErrorMessage="1" xr:uid="{C4255908-92AD-431F-A520-2BC5BF3DAD60}">
          <x14:formula1>
            <xm:f>Sheet2!$A$6</xm:f>
          </x14:formula1>
          <xm:sqref>AC36</xm:sqref>
        </x14:dataValidation>
        <x14:dataValidation type="list" allowBlank="1" showInputMessage="1" showErrorMessage="1" xr:uid="{62DA7595-2795-4C1B-8E3D-DCA82D9554AF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45568.660053796295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FA20BDBC-619F-4052-8B23-12C9CC96D2F9}">
      <formula1>$N$2:$N$20</formula1>
    </dataValidation>
    <dataValidation type="list" allowBlank="1" showInputMessage="1" showErrorMessage="1" sqref="G63:G75" xr:uid="{00833BD5-9E46-451A-99C0-081E5F758D6D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45568.660053796295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382.5</v>
      </c>
      <c r="K6" s="240">
        <f>B6*J6</f>
        <v>1912.5</v>
      </c>
      <c r="L6" s="241">
        <f>(K6)/$G$84</f>
        <v>0.0047469492307104276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2103.75</v>
      </c>
      <c r="K7" s="240">
        <f ref="K7:K9" t="shared" si="2">B7*J7</f>
        <v>16830</v>
      </c>
      <c r="L7" s="241">
        <f>(K7)/$G$84</f>
        <v>0.041773153230251762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1271.25</v>
      </c>
      <c r="K8" s="240">
        <f t="shared" si="2"/>
        <v>3813.75</v>
      </c>
      <c r="L8" s="241">
        <f>(K8)/$G$84</f>
        <v>0.00946597523065197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2520</v>
      </c>
      <c r="K9" s="240">
        <f t="shared" si="2"/>
        <v>5040</v>
      </c>
      <c r="L9" s="241">
        <f>(K9)/$G$84</f>
        <v>0.012509607384460421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>
        <f>H9*B9+B8*H8+H7*B7</f>
        <v>570.75</v>
      </c>
      <c r="I10" s="211">
        <f>SUBTOTAL(109,Table118[اجمالي الميزان])</f>
        <v>613.25</v>
      </c>
      <c r="J10" s="242"/>
      <c r="K10" s="240">
        <f>SUBTOTAL(109,Table118[اجمالي])</f>
        <v>27596.25</v>
      </c>
      <c r="L10" s="244">
        <f>Table118[[#Totals],[اجمالي]]/$G$84</f>
        <v>0.068495685076074578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0.0029784779486810528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0.0024820649572342107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>
        <f t="shared" si="6"/>
        <v>0.0013651357264788159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390</v>
      </c>
      <c r="L21" s="241">
        <f t="shared" si="6"/>
        <v>0.00096800533332134207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0.0023827823589448421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0.00029784779486810527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0.029784779486810527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9.9282598289368422E-05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1350</v>
      </c>
      <c r="L27" s="241">
        <f t="shared" si="6"/>
        <v>0.0033507876922661841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17610</v>
      </c>
      <c r="L28" s="244">
        <f>Table1522[[#Totals],[اجمالي]]/$G$84</f>
        <v>0.04370916389689445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5040</v>
      </c>
      <c r="L31" s="241">
        <f>(K31)/$G$84</f>
        <v>0.012509607384460421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2160</v>
      </c>
      <c r="L32" s="251">
        <f>(K32)/$G$84</f>
        <v>0.0053612603076258949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7200</v>
      </c>
      <c r="L33" s="244">
        <f>Table1624[[#Totals],[اجمالي]]/$G$84</f>
        <v>0.017870867692086314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0.0059569558973621055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0.0005212336410191842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0.0001861548717925658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0.0001861548717925658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0.00062051623930855268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0.0018615487179256579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0.00049641299144684205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475</v>
      </c>
      <c r="J46" s="248"/>
      <c r="K46" s="240">
        <f>B46*Table1319[[#This Row],[سعر الكيلو]]</f>
        <v>9500</v>
      </c>
      <c r="L46" s="251">
        <f t="shared" si="11"/>
        <v>0.023579617093725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525</v>
      </c>
      <c r="J47" s="248"/>
      <c r="K47" s="240">
        <f>B47*Table1319[[#This Row],[سعر الكيلو]]</f>
        <v>10500</v>
      </c>
      <c r="L47" s="251">
        <f t="shared" si="11"/>
        <v>0.026061682050959212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0.0019856519657873682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0.0019856519657873682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0.063441580306906414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1968.75</v>
      </c>
      <c r="L54" s="241">
        <f>(Table161027[[#This Row],[اجمالي]])/$G$84</f>
        <v>0.0048865653845548522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35000</v>
      </c>
      <c r="L55" s="241">
        <f>(Table161027[[#This Row],[اجمالي]])/$G$84</f>
        <v>0.086872273503197373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36968.75</v>
      </c>
      <c r="L56" s="241">
        <f>Table161027[[#Totals],[اجمالي]]/$G$84</f>
        <v>0.091758838887752214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>
        <f>'Cutting Ro-2'!$O$7</f>
        <v>2133.1235057477479</v>
      </c>
      <c r="I59" s="247"/>
      <c r="J59" s="403">
        <f>IF((Table161128[[#This Row],[عدد]]&gt;0),'Cutting Ro-2'!O8,0)</f>
        <v>204779.8565517838</v>
      </c>
      <c r="K59" s="240">
        <f>Table161128[[#This Row],[عدد]]*Table161128[[#This Row],[سعر البرجولا كاملة]]</f>
        <v>204779.8565517838</v>
      </c>
      <c r="L59" s="241">
        <f>(K59)/$G$84</f>
        <v>0.508276905894631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204779.8565517838</v>
      </c>
      <c r="K60" s="240">
        <f>Table161128[[#This Row],[عدد]]*Table161128[[#This Row],[سعر البرجولا كاملة]]</f>
        <v>20477.985655178381</v>
      </c>
      <c r="L60" s="241">
        <f>(K60)/$G$84</f>
        <v>0.050827690589463105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225257.84220696217</v>
      </c>
      <c r="L61" s="244">
        <f>Table161128[[#Totals],[اجمالي]]/$G$84</f>
        <v>0.559104596484094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773.25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23197.5</v>
      </c>
      <c r="L64" s="241">
        <f>(K64)/$G$84</f>
        <v>0.0575777018454406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23197.5</v>
      </c>
      <c r="L65" s="241">
        <f>Table161330[[#Totals],[اجمالي]]/$G$84</f>
        <v>0.0575777018454406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>
        <f ref="L68:L80" t="shared" si="15">(K68)/$G$84</f>
        <v>0.0037230974358513158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>
        <f t="shared" si="15"/>
        <v>0.0018615487179256579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>
        <f t="shared" si="15"/>
        <v>0.0055846461537769733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>
        <f t="shared" si="15"/>
        <v>0.0037230974358513158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450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2" s="240">
        <f t="shared" si="14"/>
        <v>6300</v>
      </c>
      <c r="L72" s="241">
        <f t="shared" si="15"/>
        <v>0.015637009230575528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450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2100</v>
      </c>
      <c r="K73" s="240">
        <f t="shared" si="14"/>
        <v>6300</v>
      </c>
      <c r="L73" s="241">
        <f t="shared" si="15"/>
        <v>0.015637009230575528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450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450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1575</v>
      </c>
      <c r="K75" s="240">
        <f t="shared" si="14"/>
        <v>6300</v>
      </c>
      <c r="L75" s="241">
        <f t="shared" si="15"/>
        <v>0.015637009230575528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0.0065526514870983153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0.011169292307553947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0.0074461948717026317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0.0057087494016386841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0.0053612603076258949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4290</v>
      </c>
      <c r="I81" s="560"/>
      <c r="J81" s="564"/>
      <c r="K81" s="565">
        <f>SUBTOTAL(109,Table161229[اجمالي])</f>
        <v>39500</v>
      </c>
      <c r="L81" s="566">
        <f>Table161229[[#Totals],[اجمالي]]/$G$84</f>
        <v>0.09804156581075131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402890.34220696217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0.3</v>
      </c>
      <c r="G85" s="283">
        <f>G84*(1+Table1832[[#This Row],[Column3]])</f>
        <v>523757.44486905087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6C293630-3527-47CC-9704-6A56C4BDA69D}">
      <formula1>$U$4:$U$5</formula1>
    </dataValidation>
    <dataValidation type="list" allowBlank="1" showInputMessage="1" showErrorMessage="1" sqref="F72:F80" xr:uid="{36FF423A-1B18-40EA-902A-9E2616661DF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45568.660053969907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CDDF2B5-12F1-42BB-BAAB-860E929736B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280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4000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d2</v>
      </c>
      <c r="O3" s="207"/>
      <c r="P3" s="207"/>
      <c r="Q3" s="234" t="s">
        <v>18</v>
      </c>
      <c r="R3" s="641">
        <f>NOW()</f>
        <v>45568.660053969907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5.7280000000000015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6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4.32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2295</v>
      </c>
      <c r="W6" s="241">
        <f>(V6)/$R$71</f>
        <v>0.014788723958556726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5.432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328.00000000000006</v>
      </c>
      <c r="D7" s="187">
        <v>225</v>
      </c>
      <c r="F7" s="384">
        <f t="shared" si="0"/>
        <v>73800.000000000015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5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9.0000000000000018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6412.5</v>
      </c>
      <c r="W7" s="241">
        <f>(V7)/$R$71</f>
        <v>0.041321434590084971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3.5800000000000005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13.320000000000002</v>
      </c>
      <c r="R8" s="211"/>
      <c r="S8" s="211">
        <f>(S7*M7)</f>
        <v>142.5</v>
      </c>
      <c r="T8" s="211"/>
      <c r="U8" s="242"/>
      <c r="V8" s="240">
        <f>SUBTOTAL(109,Table15855[اجمالي])</f>
        <v>8707.5</v>
      </c>
      <c r="W8" s="244">
        <f>Table15855[[#Totals],[اجمالي]]/$R$71</f>
        <v>0.056110158548641695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5.7280000000000015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0.0025775553740403881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0.0014176554557222133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0.000837705496563126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0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0</v>
      </c>
      <c r="W14" s="241">
        <f t="shared" si="2"/>
        <v>0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371.87500000000006</v>
      </c>
      <c r="F17" s="387">
        <f>SUBTOTAL(109,Table823[اجمالي التكلفة])</f>
        <v>104125.00000000002</v>
      </c>
      <c r="G17" s="386"/>
      <c r="H17" s="386"/>
      <c r="I17" s="386"/>
      <c r="J17" s="386"/>
      <c r="L17" s="211">
        <v>7</v>
      </c>
      <c r="M17" s="212">
        <f>IF((N3="d1"),4,IF((N3="d2"),4,0))</f>
        <v>4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4800</v>
      </c>
      <c r="W17" s="241">
        <f t="shared" si="2"/>
        <v>0.030930664488484656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5550</v>
      </c>
      <c r="W18" s="244">
        <f>Table156140[[#Totals],[اجمالي]]/$R$71</f>
        <v>0.035763580814810382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0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</v>
      </c>
      <c r="R23" s="211"/>
      <c r="S23" s="211">
        <f>(S21*M21)+(M22*S22)</f>
        <v>0</v>
      </c>
      <c r="T23" s="211"/>
      <c r="U23" s="242"/>
      <c r="V23" s="240">
        <f>SUBTOTAL(109,Table166241[اجمالي])</f>
        <v>0</v>
      </c>
      <c r="W23" s="244">
        <f>Table166241[[#Totals],[اجمالي]]/$R$71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1.1933333333333336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477.33333333333343</v>
      </c>
      <c r="W26" s="241">
        <f ref="W26:W44" t="shared" si="4">(V26)/$R$71</f>
        <v>0.0030758827463548636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0.00028997497957954365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0.00028997497957954365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0.00048329163263257274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0.0028997497957954366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0.00077326661221211639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2.8589473684210529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300.18947368421055</v>
      </c>
      <c r="W32" s="241">
        <f t="shared" si="4"/>
        <v>0.0019343874778127313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5.7280000000000015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1432.0000000000005</v>
      </c>
      <c r="W33" s="241">
        <f t="shared" si="4"/>
        <v>0.00922764823906459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5.7280000000000015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2921.2800000000007</v>
      </c>
      <c r="W34" s="241">
        <f t="shared" si="4"/>
        <v>0.018824402407691766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0</v>
      </c>
      <c r="W41" s="251">
        <f t="shared" si="4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0</v>
      </c>
      <c r="W42" s="251">
        <f t="shared" si="4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5865.8028070175451</v>
      </c>
      <c r="W45" s="516">
        <f>Table135926[[#Totals],[اجمالي]]/$R$71</f>
        <v>0.037798578870723167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104125.00000000002</v>
      </c>
      <c r="V50" s="240">
        <f>M50*Table16136845[[#This Row],[سعر الشبك ]]</f>
        <v>104125.00000000002</v>
      </c>
      <c r="W50" s="241">
        <f t="shared" si="6"/>
        <v>0.6709698833048886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104125.00000000002</v>
      </c>
      <c r="V51" s="240">
        <f>M51*Table16136845[[#This Row],[سعر الشبك ]]</f>
        <v>10412.500000000002</v>
      </c>
      <c r="W51" s="241">
        <f t="shared" si="6"/>
        <v>0.067096988330488855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114537.50000000002</v>
      </c>
      <c r="W52" s="244">
        <f>Table16136845[[#Totals],[اجمالي]]/$R$71</f>
        <v>0.73806687163537743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1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5" s="240">
        <f ref="V55:V67" t="shared" si="7">M55*U55</f>
        <v>500</v>
      </c>
      <c r="W55" s="241">
        <f ref="W55:W67" t="shared" si="8">(V55)/$R$71</f>
        <v>0.003221944217550485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1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6" s="240">
        <f t="shared" si="7"/>
        <v>500</v>
      </c>
      <c r="W56" s="241">
        <f t="shared" si="8"/>
        <v>0.003221944217550485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0.003221944217550485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0.0048329163263257273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2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1050</v>
      </c>
      <c r="V59" s="240">
        <f t="shared" si="7"/>
        <v>4200</v>
      </c>
      <c r="W59" s="241">
        <f t="shared" si="8"/>
        <v>0.027064331427424072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2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1050</v>
      </c>
      <c r="V60" s="240">
        <f t="shared" si="7"/>
        <v>3150</v>
      </c>
      <c r="W60" s="241">
        <f t="shared" si="8"/>
        <v>0.020298248570568056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0.010149124285284028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0.015465332244242328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7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1750</v>
      </c>
      <c r="W64" s="241">
        <f t="shared" si="8"/>
        <v>0.011276804761426697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2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4600</v>
      </c>
      <c r="W66" s="241">
        <f t="shared" si="8"/>
        <v>0.02964188680146446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5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600</v>
      </c>
      <c r="W67" s="241">
        <f t="shared" si="8"/>
        <v>0.0038663330610605819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20525</v>
      </c>
      <c r="W68" s="566">
        <f>Table16126744[[#Totals],[اجمالي]]/$R$71</f>
        <v>0.13226081013044741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155185.80280701755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201741.54364912282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B556F36-A833-496F-A189-3DB8A173DA54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196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196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199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200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200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197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197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169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169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196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198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196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198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199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38568759-26EE-4F80-A108-A58413942BDE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173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45568.660053969907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45568.660053969907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45568.660054155094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173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45568.660054155094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3EA1EBE4-0ABD-4913-9ABC-96D680A3611B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