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<sst xmlns="http://schemas.openxmlformats.org/spreadsheetml/2006/main" count="598" uniqueCount="598">
  <si>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</si>
  <si>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</si>
  <si>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</si>
  <si>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</si>
  <si>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</si>
  <si>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</si>
  <si>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</si>
  <si>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</si>
  <si>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</si>
  <si>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</si>
  <si>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</si>
  <si>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</si>
  <si>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</si>
  <si>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</si>
  <si>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</si>
  <si>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</si>
  <si>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</si>
  <si>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</si>
  <si>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</si>
  <si>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</si>
  <si>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</si>
  <si>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</si>
  <si>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</si>
  <si>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</si>
  <si>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</si>
  <si>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</si>
  <si>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</si>
  <si>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</si>
  <si>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</si>
  <si>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</si>
  <si>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</si>
  <si>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</si>
  <si>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</si>
  <si>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</si>
  <si>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</si>
  <si>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</si>
  <si>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</si>
  <si>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</si>
  <si>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</si>
  <si>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</si>
  <si>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</si>
  <si>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</si>
  <si>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</si>
  <si>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</si>
  <si>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</si>
  <si>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</si>
  <si>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</si>
  <si>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</si>
  <si>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</si>
  <si>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</si>
  <si>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</si>
  <si>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</si>
  <si>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</si>
  <si>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</si>
  <si>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</si>
  <si>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</si>
  <si>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</si>
  <si>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</si>
  <si>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</si>
  <si>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</si>
  <si>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</si>
  <si>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</si>
  <si>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</si>
  <si>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</si>
  <si>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</si>
  <si>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</si>
  <si>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</si>
  <si>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</si>
  <si>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</si>
  <si>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</si>
  <si>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</si>
  <si>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</si>
  <si>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</si>
  <si>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</si>
  <si>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</si>
  <si>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</si>
  <si>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</si>
  <si>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</si>
  <si>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</si>
  <si>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</si>
  <si>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</si>
  <si>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</si>
  <si>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</si>
  <si>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</si>
  <si>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</si>
  <si>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</si>
  <si>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</si>
  <si>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</si>
  <si>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</si>
  <si>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</si>
  <si>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</si>
  <si>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</si>
  <si>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</si>
  <si>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</si>
  <si>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</si>
  <si>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</si>
  <si>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</si>
  <si>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</si>
  <si>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</si>
  <si>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</si>
  <si>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</si>
  <si>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</si>
  <si>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</si>
  <si>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</si>
  <si>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</si>
  <si>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</si>
  <si>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</si>
  <si>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</si>
  <si>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</si>
  <si>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</si>
  <si>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</si>
  <si>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</si>
  <si>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</si>
  <si>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</si>
  <si>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</si>
  <si>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</si>
  <si>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</si>
  <si>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</si>
  <si>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</si>
  <si>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</si>
  <si>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</si>
  <si>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</si>
  <si>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</si>
  <si>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</si>
  <si>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</si>
  <si>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</si>
  <si>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</si>
  <si>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</si>
  <si>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</si>
  <si>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</si>
  <si>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</si>
  <si>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</si>
  <si>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</si>
  <si>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</si>
  <si>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</si>
  <si>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</si>
  <si>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</si>
  <si>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</si>
  <si>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</si>
  <si>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</si>
  <si>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</si>
  <si>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</si>
  <si>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</si>
  <si>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</si>
  <si>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</si>
  <si>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</si>
  <si>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</si>
  <si>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</si>
  <si>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</si>
  <si>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</si>
  <si>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</si>
  <si>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</si>
  <si>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</si>
  <si>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</si>
  <si>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</si>
  <si>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</si>
  <si>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</si>
  <si>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</si>
  <si>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</si>
  <si>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</si>
  <si>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</si>
  <si>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</si>
  <si>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</si>
  <si>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</si>
  <si>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</si>
  <si>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</si>
  <si>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</si>
  <si>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</si>
  <si>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</si>
  <si>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</si>
  <si>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</si>
  <si>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</si>
  <si>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</si>
  <si>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</si>
  <si>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</si>
  <si>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</si>
  <si>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</si>
  <si>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</si>
  <si>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</si>
  <si>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</si>
  <si>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</si>
  <si>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</si>
  <si>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</si>
  <si>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</si>
  <si>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</si>
  <si>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</si>
  <si>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</si>
  <si>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</si>
  <si>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</si>
  <si>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</si>
  <si>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</si>
  <si>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</si>
  <si>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</si>
  <si>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</si>
  <si>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</si>
  <si>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</si>
  <si>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</si>
  <si>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</si>
  <si>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</si>
  <si>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</si>
  <si>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</si>
  <si>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</si>
  <si>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</si>
  <si>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</si>
  <si>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</si>
  <si>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</si>
  <si>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</si>
  <si>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</si>
  <si>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</si>
  <si>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</si>
  <si>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</si>
  <si>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</si>
  <si>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</si>
  <si>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</si>
  <si>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</si>
  <si>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</si>
  <si>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</si>
  <si>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</si>
  <si>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</si>
  <si>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</si>
  <si>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</si>
  <si>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</si>
  <si>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</si>
  <si>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</si>
  <si>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</si>
  <si>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</si>
  <si>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</si>
  <si>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</si>
  <si>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</si>
  <si>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</si>
  <si>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</si>
  <si>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</si>
  <si>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</si>
  <si>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</si>
  <si>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</si>
  <si>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</si>
  <si>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</si>
  <si>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</si>
  <si>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</si>
  <si>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</si>
  <si>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</si>
  <si>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</si>
  <si>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</si>
  <si>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</si>
  <si>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</si>
  <si>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</si>
  <si>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</si>
  <si>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</si>
  <si>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</si>
  <si>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</si>
  <si>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</si>
  <si>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</si>
  <si>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</si>
  <si>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</si>
  <si>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</si>
  <si>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</si>
  <si>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</si>
  <si>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</si>
  <si>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</si>
  <si>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</si>
  <si>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</si>
  <si>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</si>
  <si>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</si>
  <si>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</si>
  <si>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</si>
  <si>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</si>
  <si>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</si>
  <si>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</si>
  <si>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</si>
  <si>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</si>
  <si>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</si>
  <si>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</si>
  <si>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</si>
  <si>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</si>
  <si>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</si>
  <si>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</si>
  <si>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</si>
  <si>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</si>
  <si>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</si>
  <si>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</si>
  <si>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</si>
  <si>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</si>
  <si>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</si>
  <si>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</si>
  <si>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</si>
  <si>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</si>
  <si>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</si>
  <si>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</si>
  <si>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</si>
  <si>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</si>
  <si>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</si>
  <si>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</si>
  <si>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</si>
  <si>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</si>
  <si>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</si>
  <si>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</si>
  <si>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</si>
  <si>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</si>
  <si>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</si>
  <si>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</si>
  <si>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</si>
  <si>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</si>
  <si>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</si>
  <si>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</si>
  <si>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</si>
  <si>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</si>
  <si>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</si>
  <si>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</si>
  <si>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</si>
  <si>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</si>
  <si>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</si>
  <si>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</si>
  <si>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</si>
  <si>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</si>
  <si>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</si>
  <si>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</si>
  <si>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</si>
  <si>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</si>
  <si>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</si>
  <si>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</si>
  <si>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</si>
  <si>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</si>
  <si>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</si>
  <si>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</si>
  <si>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</si>
  <si>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</si>
  <si>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</si>
  <si>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</si>
  <si>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</si>
  <si>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</si>
  <si>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</si>
  <si>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</si>
  <si>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</si>
  <si>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</si>
  <si>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</si>
  <si>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</si>
  <si>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</si>
  <si>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</si>
  <si>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</si>
  <si>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</si>
  <si>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</si>
  <si>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</si>
  <si>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</si>
  <si>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</si>
  <si>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</si>
  <si>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</si>
  <si>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</si>
  <si>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</si>
  <si>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</si>
  <si>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</si>
  <si>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</si>
  <si>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</si>
  <si>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</si>
  <si>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</si>
  <si>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</si>
  <si>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</si>
  <si>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</si>
  <si>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</si>
  <si>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</si>
  <si>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</si>
  <si>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</si>
  <si>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</si>
  <si>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</si>
  <si>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</si>
  <si>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</si>
  <si>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</si>
  <si>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</si>
  <si>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</si>
  <si>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</si>
  <si>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</si>
  <si>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</si>
  <si>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</si>
  <si>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</si>
  <si>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</si>
  <si>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</si>
  <si>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</si>
  <si>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</si>
  <si>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</si>
  <si>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</si>
  <si>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</si>
  <si>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</si>
  <si>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</si>
  <si>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</si>
  <si>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</si>
  <si>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</si>
  <si>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</si>
  <si>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</si>
  <si>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</si>
  <si>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</si>
  <si>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</si>
  <si>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</si>
  <si>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</si>
  <si>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</si>
  <si>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</si>
  <si>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</si>
  <si>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</si>
  <si>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</si>
  <si>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</si>
  <si>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</si>
  <si>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</si>
  <si>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</si>
  <si>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</si>
  <si>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</si>
  <si>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</si>
  <si>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</si>
  <si>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</si>
  <si>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</si>
  <si>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</si>
  <si>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</si>
  <si>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</si>
  <si>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</si>
  <si>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</si>
  <si>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</si>
  <si>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</si>
  <si>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</si>
  <si>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</si>
  <si>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</si>
  <si>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</si>
  <si>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</si>
  <si>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</si>
  <si>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</si>
  <si>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</si>
  <si>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</si>
  <si>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</si>
  <si>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</si>
  <si>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</si>
  <si>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</si>
  <si>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</si>
  <si>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</si>
  <si>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</si>
  <si>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</si>
  <si>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</si>
  <si>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</si>
  <si>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</si>
  <si>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</si>
  <si>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</si>
  <si>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</si>
  <si>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</si>
  <si>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</si>
  <si>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</si>
  <si>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</si>
  <si>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</si>
  <si>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</si>
  <si>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</si>
  <si>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</si>
  <si>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</si>
  <si>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</si>
  <si>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</si>
  <si>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</si>
  <si>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</si>
  <si>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</si>
  <si>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</si>
  <si>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</si>
  <si>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</si>
  <si>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</si>
  <si>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</si>
  <si>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</si>
  <si>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</si>
  <si>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</si>
  <si>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</si>
  <si>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</si>
  <si>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</si>
  <si>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</si>
  <si>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</si>
  <si>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</si>
  <si>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</si>
  <si>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</si>
  <si>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</si>
  <si>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</si>
  <si>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</si>
  <si>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</si>
  <si>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</si>
  <si>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</si>
  <si>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</si>
  <si>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</si>
  <si>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</si>
  <si>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</si>
  <si>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</si>
  <si>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</si>
  <si>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</si>
  <si>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</si>
  <si>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</si>
  <si>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</si>
  <si>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</si>
  <si>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</si>
  <si>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</si>
  <si>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</si>
  <si>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</si>
  <si>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</si>
  <si>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</si>
  <si>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</si>
  <si>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</si>
  <si>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</si>
  <si>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</si>
  <si>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</si>
  <si>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</si>
  <si>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</si>
  <si>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</si>
  <si>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</si>
  <si>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</si>
  <si>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</si>
  <si>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</si>
  <si>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</si>
  <si>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</si>
  <si>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</si>
  <si>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</si>
  <si>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</si>
  <si>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</si>
  <si>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</si>
  <si>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</si>
  <si>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</si>
  <si>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</si>
  <si>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</si>
  <si>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</si>
  <si>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</si>
  <si>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</si>
  <si>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</si>
  <si>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</si>
  <si>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</si>
  <si>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</si>
  <si>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</si>
  <si>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</si>
  <si>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</si>
  <si>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</si>
  <si>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</si>
  <si>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</si>
  <si>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</si>
  <si>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</si>
  <si>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</si>
  <si>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</si>
  <si>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</si>
  <si>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</si>
  <si>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</si>
  <si>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</si>
  <si>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</si>
  <si>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</si>
  <si>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</si>
  <si>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</si>
  <si>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</si>
  <si>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</si>
  <si>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</si>
  <si>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</si>
  <si>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</si>
  <si>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</si>
  <si>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</si>
  <si>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</si>
  <si>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</si>
  <si>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</si>
  <si>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</si>
  <si>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</si>
  <si>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</si>
  <si>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</si>
  <si>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</si>
  <si>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</si>
  <si>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</si>
  <si>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</si>
  <si>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</si>
  <si>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</si>
  <si>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</si>
  <si>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</si>
  <si>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</si>
  <si>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</si>
  <si>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</si>
  <si>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</si>
  <si>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</si>
  <si>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</si>
  <si>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</si>
  <si>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</si>
  <si>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</si>
  <si>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</si>
  <si>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</si>
  <si>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</si>
  <si>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</si>
  <si>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</si>
  <si>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</si>
  <si>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</si>
  <si>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</si>
  <si>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</si>
  <si>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</si>
  <si>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</si>
  <si>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</si>
  <si>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</si>
  <si>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</si>
  <si>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C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</si>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</sst>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59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1219200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34" totalsRowDxfId="1535"/>
    <tableColumn id="2" xr3:uid="{00000000-0010-0000-6300-000002000000}" name="عدد" dataDxfId="1539" totalsRowDxfId="15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34" totalsRowDxfId="1535"/>
    <tableColumn id="11" xr3:uid="{00000000-0010-0000-6300-00000B000000}" name="Column2" dataDxfId="1534" totalsRowDxfId="1535"/>
    <tableColumn id="10" xr3:uid="{00000000-0010-0000-6300-00000A000000}" name="Column1" dataDxfId="1534" totalsRowDxfId="1535"/>
    <tableColumn id="12" xr3:uid="{00000000-0010-0000-6300-00000C000000}" name="Column12" dataDxfId="1534" totalsRowDxfId="1535"/>
    <tableColumn id="4" xr3:uid="{00000000-0010-0000-6300-000004000000}" name="الوحده" totalsRowLabel="total" dataDxfId="1534" totalsRowDxfId="1535"/>
    <tableColumn id="5" xr3:uid="{00000000-0010-0000-6300-000005000000}" name="الوزن" dataDxfId="1534" totalsRowDxfId="1535"/>
    <tableColumn id="6" xr3:uid="{00000000-0010-0000-6300-000006000000}" name="سعر الكيلو" dataDxfId="1534" totalsRowDxfId="1535"/>
    <tableColumn id="7" xr3:uid="{00000000-0010-0000-6300-000007000000}" name="سعر الشبك " dataDxfId="1545" totalsRowDxfId="1552">
      <calculatedColumnFormula>BP28</calculatedColumnFormula>
    </tableColumn>
    <tableColumn id="8" xr3:uid="{00000000-0010-0000-6300-000008000000}" name="اجمالي" totalsRowFunction="sum" dataDxfId="1543" totalsRowDxfId="1553">
      <calculatedColumnFormula>BH98*BP99</calculatedColumnFormula>
    </tableColumn>
    <tableColumn id="9" xr3:uid="{00000000-0010-0000-6300-000009000000}" name="%" totalsRowFunction="custom" totalsRowDxfId="155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34" totalsRowDxfId="1535"/>
    <tableColumn id="2" xr3:uid="{00000000-0010-0000-6400-000002000000}" name="عدد" dataDxfId="1539" totalsRowDxfId="1535">
      <calculatedColumnFormula>IF((#REF!="بالتات"),0,4)</calculatedColumnFormula>
    </tableColumn>
    <tableColumn id="3" xr3:uid="{00000000-0010-0000-6400-000003000000}" name="بيان" totalsRowLabel="Total" dataDxfId="1534" totalsRowDxfId="1535"/>
    <tableColumn id="11" xr3:uid="{00000000-0010-0000-6400-00000B000000}" name="Column2" dataDxfId="1534" totalsRowDxfId="1535"/>
    <tableColumn id="10" xr3:uid="{00000000-0010-0000-6400-00000A000000}" name="Column1" dataDxfId="1534" totalsRowDxfId="1535"/>
    <tableColumn id="12" xr3:uid="{00000000-0010-0000-6400-00000C000000}" name="Column12" dataDxfId="1551" totalsRowDxfId="1555"/>
    <tableColumn id="4" xr3:uid="{00000000-0010-0000-6400-000004000000}" name="الوحده" dataDxfId="1534" totalsRowDxfId="1535"/>
    <tableColumn id="5" xr3:uid="{00000000-0010-0000-6400-000005000000}" name="الوزن" dataDxfId="1534" totalsRowDxfId="1535"/>
    <tableColumn id="6" xr3:uid="{00000000-0010-0000-6400-000006000000}" name="سعر الكيلو" dataDxfId="1534" totalsRowDxfId="1535"/>
    <tableColumn id="7" xr3:uid="{00000000-0010-0000-6400-000007000000}" name="سعر الشبك " dataDxfId="1585" totalsRowDxfId="1552">
      <calculatedColumnFormula>Sheet2!AW26</calculatedColumnFormula>
    </tableColumn>
    <tableColumn id="8" xr3:uid="{00000000-0010-0000-6400-000008000000}" name="اجمالي" totalsRowFunction="sum" dataDxfId="1543" totalsRowDxfId="1553">
      <calculatedColumnFormula>BH84*BP84</calculatedColumnFormula>
    </tableColumn>
    <tableColumn id="9" xr3:uid="{00000000-0010-0000-6400-000009000000}" name="%" totalsRowFunction="custom" totalsRowDxfId="155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34"/>
    <tableColumn id="2" xr3:uid="{00000000-0010-0000-6500-000002000000}" name="عدد" totalsRowFunction="sum" dataDxfId="1534">
      <calculatedColumnFormula>BH90*4</calculatedColumnFormula>
    </tableColumn>
    <tableColumn id="3" xr3:uid="{00000000-0010-0000-6500-000003000000}" name="بيان" totalsRowLabel="Total" dataDxfId="1534"/>
    <tableColumn id="11" xr3:uid="{00000000-0010-0000-6500-00000B000000}" name="Column2" dataDxfId="1534"/>
    <tableColumn id="10" xr3:uid="{00000000-0010-0000-6500-00000A000000}" name="Column1" dataDxfId="1534"/>
    <tableColumn id="12" xr3:uid="{00000000-0010-0000-6500-00000C000000}" name="Column12" totalsRowFunction="sum" dataDxfId="155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3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39"/>
    <tableColumn id="7" xr3:uid="{00000000-0010-0000-6500-000007000000}" name="سعر الشبك " dataDxfId="1545">
      <calculatedColumnFormula>BN92*$S$2/1000</calculatedColumnFormula>
    </tableColumn>
    <tableColumn id="8" xr3:uid="{00000000-0010-0000-6500-000008000000}" name="اجمالي" totalsRowFunction="sum" dataDxfId="1543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57"/>
    <tableColumn id="2" xr3:uid="{00000000-0010-0000-6600-000002000000}" name="المعدل" dataDxfId="1557"/>
    <tableColumn id="3" xr3:uid="{00000000-0010-0000-6600-000003000000}" name="الوحدة" dataDxfId="1557"/>
    <tableColumn id="4" xr3:uid="{00000000-0010-0000-6600-000004000000}" name="Column4" dataDxfId="158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57"/>
    <tableColumn id="2" xr3:uid="{00000000-0010-0000-6700-000002000000}" name="Column2" dataDxfId="1583"/>
    <tableColumn id="3" xr3:uid="{00000000-0010-0000-6700-000003000000}" name="Column3" dataDxfId="1557"/>
    <tableColumn id="4" xr3:uid="{00000000-0010-0000-6700-000004000000}" name="Column4" dataDxfId="1557"/>
    <tableColumn id="5" xr3:uid="{00000000-0010-0000-6700-000005000000}" name="Column5" dataDxfId="1557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34"/>
    <tableColumn id="2" xr3:uid="{00000000-0010-0000-6800-000002000000}" name="عدد" dataDxfId="1567">
      <calculatedColumnFormula>IF((تسعير!$AU$14="بالتات"),0,BH119-2)</calculatedColumnFormula>
    </tableColumn>
    <tableColumn id="3" xr3:uid="{00000000-0010-0000-6800-000003000000}" name="بيان" totalsRowLabel="Total" dataDxfId="1568"/>
    <tableColumn id="5" xr3:uid="{00000000-0010-0000-6800-000005000000}" name="اليومية / الاجرة" dataDxfId="1568"/>
    <tableColumn id="6" xr3:uid="{00000000-0010-0000-6800-000006000000}" name="بدل الوجبة" dataDxfId="1570"/>
    <tableColumn id="11" xr3:uid="{00000000-0010-0000-6800-00000B000000}" name="موقع العمل" dataDxfId="1550">
      <calculatedColumnFormula>تسعير!$BE$44</calculatedColumnFormula>
    </tableColumn>
    <tableColumn id="10" xr3:uid="{00000000-0010-0000-6800-00000A000000}" name="شيفت العمل" dataDxfId="1534"/>
    <tableColumn id="12" xr3:uid="{00000000-0010-0000-6800-00000C000000}" name="Column12" totalsRowFunction="sum" dataDxfId="1551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580"/>
    <tableColumn id="7" xr3:uid="{00000000-0010-0000-6800-000007000000}" name="اجمالي التكلفة للعامل" dataDxfId="1581">
      <calculatedColumnFormula>Table1612677697108[[#This Row],[Column12]]</calculatedColumnFormula>
    </tableColumn>
    <tableColumn id="8" xr3:uid="{00000000-0010-0000-6800-000008000000}" name="اجمالي" totalsRowFunction="sum" dataDxfId="1543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50"/>
    <tableColumn id="2" xr3:uid="{00000000-0010-0000-6900-000002000000}" name="عدد" dataDxfId="1567">
      <calculatedColumnFormula>IF((BL133="الاسكندرية"),0.25,0.1)</calculatedColumnFormula>
    </tableColumn>
    <tableColumn id="3" xr3:uid="{00000000-0010-0000-6900-000003000000}" name="بيان" totalsRowLabel="Total" dataDxfId="1550"/>
    <tableColumn id="11" xr3:uid="{00000000-0010-0000-6900-00000B000000}" name="Column2" dataDxfId="1550"/>
    <tableColumn id="10" xr3:uid="{00000000-0010-0000-6900-00000A000000}" name="Column1" dataDxfId="1550"/>
    <tableColumn id="12" xr3:uid="{00000000-0010-0000-6900-00000C000000}" name="Column12" totalsRowFunction="sum" dataDxfId="1587"/>
    <tableColumn id="4" xr3:uid="{00000000-0010-0000-6900-000004000000}" name="الوحده" dataDxfId="1560"/>
    <tableColumn id="5" xr3:uid="{00000000-0010-0000-6900-000005000000}" name="الوزن" dataDxfId="1550"/>
    <tableColumn id="6" xr3:uid="{00000000-0010-0000-6900-000006000000}" name="سعر الكيلو" dataDxfId="1550"/>
    <tableColumn id="7" xr3:uid="{00000000-0010-0000-6900-000007000000}" name="سعر الشبك " dataDxfId="1585">
      <calculatedColumnFormula>BQ116</calculatedColumnFormula>
    </tableColumn>
    <tableColumn id="8" xr3:uid="{00000000-0010-0000-6900-000008000000}" name="اجمالي" totalsRowFunction="sum" dataDxfId="1543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57"/>
    <tableColumn id="2" xr3:uid="{00000000-0010-0000-6A00-000002000000}" name="خارجي" dataDxfId="1557"/>
    <tableColumn id="3" xr3:uid="{00000000-0010-0000-6A00-000003000000}" name="داخلي" dataDxfId="1557"/>
    <tableColumn id="4" xr3:uid="{00000000-0010-0000-6A00-000004000000}" name="بدل الوجبة" dataDxfId="1557"/>
    <tableColumn id="5" xr3:uid="{00000000-0010-0000-6A00-000005000000}" name="دبابة" dataDxfId="1557"/>
    <tableColumn id="6" xr3:uid="{00000000-0010-0000-6A00-000006000000}" name="جامبو" dataDxfId="1557"/>
    <tableColumn id="7" xr3:uid="{00000000-0010-0000-6A00-000007000000}" name="الاقامة" dataDxfId="1557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50"/>
    <tableColumn id="4" xr3:uid="{00000000-0010-0000-6B00-000004000000}" name="Column22" dataDxfId="1550"/>
    <tableColumn id="5" xr3:uid="{00000000-0010-0000-6B00-000005000000}" name="Column23" dataDxfId="1550"/>
    <tableColumn id="3" xr3:uid="{00000000-0010-0000-6B00-000003000000}" name="Column3" dataDxfId="1582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56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34" totalsRowDxfId="1535"/>
    <tableColumn id="2" xr3:uid="{00000000-0010-0000-6C00-000002000000}" name="عدد" dataDxfId="1534" totalsRowDxfId="153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34" totalsRowDxfId="1535"/>
    <tableColumn id="11" xr3:uid="{00000000-0010-0000-6C00-00000B000000}" name="Column2" dataDxfId="1534" totalsRowDxfId="1535"/>
    <tableColumn id="10" xr3:uid="{00000000-0010-0000-6C00-00000A000000}" name="Column1" dataDxfId="1534" totalsRowDxfId="1535"/>
    <tableColumn id="12" xr3:uid="{00000000-0010-0000-6C00-00000C000000}" name="المسطح" totalsRowFunction="sum" dataDxfId="1551" totalsRowDxfId="1555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34" totalsRowDxfId="1535"/>
    <tableColumn id="5" xr3:uid="{00000000-0010-0000-6C00-000005000000}" name="الوزن" totalsRowFunction="custom" totalsRowDxfId="1535">
      <totalsRowFormula>(BN76*BH76)+(BN77*BH77)+(BN78*BH78)+(BN79*BH79)</totalsRowFormula>
    </tableColumn>
    <tableColumn id="6" xr3:uid="{00000000-0010-0000-6C00-000006000000}" name="اجمالي المسطح" totalsRowFunction="sum" dataDxfId="1539" totalsRowDxfId="1535">
      <calculatedColumnFormula>Table15880101112[[#This Row],[المسطح]]*Table15880101112[[#This Row],[عدد]]</calculatedColumnFormula>
    </tableColumn>
    <tableColumn id="7" xr3:uid="{00000000-0010-0000-6C00-000007000000}" name="سعر الشبك " dataDxfId="1590" totalsRowDxfId="1552">
      <calculatedColumnFormula>BN76*$S$2/1000</calculatedColumnFormula>
    </tableColumn>
    <tableColumn id="8" xr3:uid="{00000000-0010-0000-6C00-000008000000}" name="اجمالي" totalsRowFunction="sum" dataDxfId="1543" totalsRowDxfId="1553">
      <calculatedColumnFormula>BH76*BP76</calculatedColumnFormula>
    </tableColumn>
    <tableColumn id="9" xr3:uid="{00000000-0010-0000-6C00-000009000000}" name="%" totalsRowFunction="custom" totalsRowDxfId="155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34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43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591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591" totalsRowDxfId="1391"/>
    <tableColumn id="4" xr3:uid="{00000000-0010-0000-6D00-000004000000}" name="Column2" dataDxfId="1591" totalsRowDxfId="1592"/>
    <tableColumn id="5" xr3:uid="{00000000-0010-0000-6D00-000005000000}" name="wt/m" dataDxfId="1591" totalsRowDxfId="1592"/>
    <tableColumn id="6" xr3:uid="{00000000-0010-0000-6D00-000006000000}" name="price" totalsRowFunction="sum" dataDxfId="1591" totalsRowDxfId="159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593" totalsRowDxfId="1592"/>
    <tableColumn id="4" xr3:uid="{00000000-0010-0000-6E00-000004000000}" name="Column2" dataDxfId="1394" totalsRowDxfId="1592"/>
    <tableColumn id="5" xr3:uid="{00000000-0010-0000-6E00-000005000000}" name="wt/m" dataDxfId="1594" totalsRowDxfId="1592"/>
    <tableColumn id="6" xr3:uid="{00000000-0010-0000-6E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594" totalsRowDxfId="1595">
  <autoFilter ref="A75:F96" xr:uid="{00000000-0009-0000-0100-000072000000}"/>
  <tableColumns count="6">
    <tableColumn id="1" xr3:uid="{00000000-0010-0000-6F00-000001000000}" name="Column1" totalsRowLabel="Total" dataDxfId="1594" totalsRowDxfId="1596"/>
    <tableColumn id="2" xr3:uid="{00000000-0010-0000-6F00-000002000000}" name="عدد" totalsRowFunction="custom" dataDxfId="1594" totalsRowDxfId="1597">
      <totalsRowFormula>(Table80102114115[[#Totals],[price]]*1.1)/(F74*D74/10000)</totalsRowFormula>
    </tableColumn>
    <tableColumn id="3" xr3:uid="{00000000-0010-0000-6F00-000003000000}" name="طول" dataDxfId="1594" totalsRowDxfId="1592"/>
    <tableColumn id="4" xr3:uid="{00000000-0010-0000-6F00-000004000000}" name="Column2" dataDxfId="1594" totalsRowDxfId="1592"/>
    <tableColumn id="5" xr3:uid="{00000000-0010-0000-6F00-000005000000}" name="wt/m" dataDxfId="1594" totalsRowDxfId="1592"/>
    <tableColumn id="6" xr3:uid="{00000000-0010-0000-6F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534"/>
    <tableColumn id="2" xr3:uid="{00000000-0010-0000-0B00-000002000000}" name="عدد" dataDxfId="1534">
      <calculatedColumnFormula>IF((F74="الاسكندرية"),0.25,0.1)</calculatedColumnFormula>
    </tableColumn>
    <tableColumn id="3" xr3:uid="{00000000-0010-0000-0B00-000003000000}" name="بيان برجولا رويال" totalsRowLabel="Total" dataDxfId="1534"/>
    <tableColumn id="12" xr3:uid="{00000000-0010-0000-0B00-00000C000000}" name="Column12" totalsRowFunction="sum" dataDxfId="1544"/>
    <tableColumn id="5" xr3:uid="{00000000-0010-0000-0B00-000005000000}" name="Column1" dataDxfId="1534"/>
    <tableColumn id="11" xr3:uid="{00000000-0010-0000-0B00-00000B000000}" name="العرض" dataDxfId="1356"/>
    <tableColumn id="10" xr3:uid="{00000000-0010-0000-0B00-00000A000000}" name="الامتداد" dataDxfId="1539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545">
      <calculatedColumnFormula>(K57)</calculatedColumnFormula>
    </tableColumn>
    <tableColumn id="8" xr3:uid="{00000000-0010-0000-0B00-000008000000}" name="اجمالي" totalsRowFunction="sum" dataDxfId="1543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534" totalsRowDxfId="1535"/>
    <tableColumn id="2" xr3:uid="{00000000-0010-0000-0C00-000002000000}" name="عدد" dataDxfId="63" totalsRowDxfId="1535">
      <calculatedColumnFormula>B60</calculatedColumnFormula>
    </tableColumn>
    <tableColumn id="3" xr3:uid="{00000000-0010-0000-0C00-000003000000}" name="بيان" totalsRowLabel="Total" dataDxfId="93" totalsRowDxfId="1535"/>
    <tableColumn id="5" xr3:uid="{00000000-0010-0000-0C00-000005000000}" name="اليومية / الاجرة" dataDxfId="1358" totalsRowDxfId="1535"/>
    <tableColumn id="6" xr3:uid="{00000000-0010-0000-0C00-000006000000}" name="بدل الوجبة" dataDxfId="1359" totalsRowDxfId="1535"/>
    <tableColumn id="11" xr3:uid="{00000000-0010-0000-0C00-00000B000000}" name="موقع العمل" dataDxfId="1546" totalsRowDxfId="1535">
      <calculatedColumnFormula>تسعير!$T$4</calculatedColumnFormula>
    </tableColumn>
    <tableColumn id="10" xr3:uid="{00000000-0010-0000-0C00-00000A000000}" name="شيفت العمل" dataDxfId="1534" totalsRowDxfId="1535"/>
    <tableColumn id="12" xr3:uid="{00000000-0010-0000-0C00-00000C000000}" name="Column12" totalsRowFunction="sum" dataDxfId="1353" totalsRowDxfId="1547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535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543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548"/>
    <tableColumn id="5" xr3:uid="{00000000-0010-0000-0D00-000005000000}" name="دبابة" dataDxfId="1360"/>
    <tableColumn id="6" xr3:uid="{00000000-0010-0000-0D00-000006000000}" name="جامبو" dataDxfId="1549"/>
    <tableColumn id="7" xr3:uid="{00000000-0010-0000-0D00-000007000000}" name="الاقامة" dataDxfId="1549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550"/>
    <tableColumn id="5" xr3:uid="{00000000-0010-0000-0E00-000005000000}" name="Column23" dataDxfId="1550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54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34" totalsRowDxfId="1535"/>
    <tableColumn id="2" xr3:uid="{00000000-0010-0000-0F00-000002000000}" name="عدد" dataDxfId="1534" totalsRowDxfId="153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34" totalsRowDxfId="1535"/>
    <tableColumn id="11" xr3:uid="{00000000-0010-0000-0F00-00000B000000}" name="Column2" dataDxfId="1534" totalsRowDxfId="1535"/>
    <tableColumn id="10" xr3:uid="{00000000-0010-0000-0F00-00000A000000}" name="Column1" dataDxfId="1534" totalsRowDxfId="1535"/>
    <tableColumn id="12" xr3:uid="{00000000-0010-0000-0F00-00000C000000}" name="المسطح" totalsRowFunction="sum" dataDxfId="1551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34" totalsRowDxfId="1535"/>
    <tableColumn id="5" xr3:uid="{00000000-0010-0000-0F00-000005000000}" name="الوزن" totalsRowFunction="custom" dataDxfId="1534" totalsRowDxfId="1535">
      <totalsRowFormula>H9*B9+H8*B8+H7*B7</totalsRowFormula>
    </tableColumn>
    <tableColumn id="6" xr3:uid="{00000000-0010-0000-0F00-000006000000}" name="اجمالي الميزان" totalsRowFunction="sum" dataDxfId="1539" totalsRowDxfId="1535">
      <calculatedColumnFormula>Table118[[#This Row],[الوزن]]*Table118[[#This Row],[عدد]]</calculatedColumnFormula>
    </tableColumn>
    <tableColumn id="7" xr3:uid="{00000000-0010-0000-0F00-000007000000}" name="سعر الشبك " dataDxfId="1545" totalsRowDxfId="1552">
      <calculatedColumnFormula>H6*$H$2/1000</calculatedColumnFormula>
    </tableColumn>
    <tableColumn id="8" xr3:uid="{00000000-0010-0000-0F00-000008000000}" name="اجمالي" totalsRowFunction="sum" dataDxfId="1543" totalsRowDxfId="1553">
      <calculatedColumnFormula>B6*J6</calculatedColumnFormula>
    </tableColumn>
    <tableColumn id="9" xr3:uid="{00000000-0010-0000-0F00-000009000000}" name="%" totalsRowFunction="custom" totalsRowDxfId="155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34" totalsRowDxfId="1535"/>
    <tableColumn id="2" xr3:uid="{00000000-0010-0000-1000-000002000000}" name="عدد" dataDxfId="1539" totalsRowDxfId="153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34" totalsRowDxfId="1535"/>
    <tableColumn id="11" xr3:uid="{00000000-0010-0000-1000-00000B000000}" name="Column2" dataDxfId="1534" totalsRowDxfId="1535"/>
    <tableColumn id="10" xr3:uid="{00000000-0010-0000-1000-00000A000000}" name="Column1" dataDxfId="1534" totalsRowDxfId="1535"/>
    <tableColumn id="12" xr3:uid="{00000000-0010-0000-1000-00000C000000}" name="Column12" dataDxfId="1534" totalsRowDxfId="1535"/>
    <tableColumn id="4" xr3:uid="{00000000-0010-0000-1000-000004000000}" name="الوحده" totalsRowLabel="total" dataDxfId="1534" totalsRowDxfId="1535"/>
    <tableColumn id="5" xr3:uid="{00000000-0010-0000-1000-000005000000}" name="الوزن" dataDxfId="1539" totalsRowDxfId="153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34" totalsRowDxfId="1535">
      <calculatedColumnFormula>Sheet2!B7</calculatedColumnFormula>
    </tableColumn>
    <tableColumn id="7" xr3:uid="{00000000-0010-0000-1000-000007000000}" name="سعر الشبك " dataDxfId="1545" totalsRowDxfId="1552"/>
    <tableColumn id="8" xr3:uid="{00000000-0010-0000-1000-000008000000}" name="اجمالي" totalsRowFunction="sum" dataDxfId="1543" totalsRowDxfId="1553">
      <calculatedColumnFormula>B36*Table1319[[#This Row],[سعر الكيلو]]</calculatedColumnFormula>
    </tableColumn>
    <tableColumn id="9" xr3:uid="{00000000-0010-0000-1000-000009000000}" name="%" totalsRowFunction="custom" totalsRowDxfId="155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34" totalsRowDxfId="1535"/>
    <tableColumn id="2" xr3:uid="{00000000-0010-0000-1100-000002000000}" name="عدد" dataDxfId="1534" totalsRowDxfId="153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34" totalsRowDxfId="1535"/>
    <tableColumn id="11" xr3:uid="{00000000-0010-0000-1100-00000B000000}" name="Column2" dataDxfId="1534" totalsRowDxfId="1535"/>
    <tableColumn id="10" xr3:uid="{00000000-0010-0000-1100-00000A000000}" name="Column1" dataDxfId="1534" totalsRowDxfId="1535"/>
    <tableColumn id="12" xr3:uid="{00000000-0010-0000-1100-00000C000000}" name="Column12" totalsRowFunction="sum" dataDxfId="1539" totalsRowDxfId="153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34" totalsRowDxfId="1535"/>
    <tableColumn id="5" xr3:uid="{00000000-0010-0000-1100-000005000000}" name="الوزن" totalsRowFunction="custom" dataDxfId="1534" totalsRowDxfId="1535">
      <totalsRowFormula>H13*B13+H14*B14</totalsRowFormula>
    </tableColumn>
    <tableColumn id="6" xr3:uid="{00000000-0010-0000-1100-000006000000}" name="سعر الكيلو" totalsRowFunction="sum" dataDxfId="1539" totalsRowDxfId="1535">
      <calculatedColumnFormula>Table1421[[#This Row],[الوزن]]*Table1421[[#This Row],[عدد]]</calculatedColumnFormula>
    </tableColumn>
    <tableColumn id="7" xr3:uid="{00000000-0010-0000-1100-000007000000}" name="سعر الشبك " dataDxfId="1545" totalsRowDxfId="1104">
      <calculatedColumnFormula>H13*$I$2/1000</calculatedColumnFormula>
    </tableColumn>
    <tableColumn id="8" xr3:uid="{00000000-0010-0000-1100-000008000000}" name="اجمالي" totalsRowFunction="sum" dataDxfId="1543" totalsRowDxfId="1553">
      <calculatedColumnFormula>B13*J13</calculatedColumnFormula>
    </tableColumn>
    <tableColumn id="9" xr3:uid="{00000000-0010-0000-1100-000009000000}" name="%" totalsRowFunction="custom" totalsRowDxfId="1554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34" totalsRowDxfId="1535"/>
    <tableColumn id="2" xr3:uid="{00000000-0010-0000-1200-000002000000}" name="عدد" dataDxfId="1539" totalsRowDxfId="153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34" totalsRowDxfId="1535"/>
    <tableColumn id="11" xr3:uid="{00000000-0010-0000-1200-00000B000000}" name="Column2" dataDxfId="1534" totalsRowDxfId="1535"/>
    <tableColumn id="10" xr3:uid="{00000000-0010-0000-1200-00000A000000}" name="Column1" dataDxfId="1534" totalsRowDxfId="1535"/>
    <tableColumn id="12" xr3:uid="{00000000-0010-0000-1200-00000C000000}" name="Column12" dataDxfId="1551" totalsRowDxfId="1555"/>
    <tableColumn id="4" xr3:uid="{00000000-0010-0000-1200-000004000000}" name="الوحده" dataDxfId="1534" totalsRowDxfId="1535"/>
    <tableColumn id="5" xr3:uid="{00000000-0010-0000-1200-000005000000}" name="الوزن" dataDxfId="1534" totalsRowDxfId="1535"/>
    <tableColumn id="6" xr3:uid="{00000000-0010-0000-1200-000006000000}" name="سعر الكيلو" dataDxfId="1534" totalsRowDxfId="1535"/>
    <tableColumn id="7" xr3:uid="{00000000-0010-0000-1200-000007000000}" name="سعر الشبك " dataDxfId="1545" totalsRowDxfId="1552">
      <calculatedColumnFormula>Sheet2!B22</calculatedColumnFormula>
    </tableColumn>
    <tableColumn id="8" xr3:uid="{00000000-0010-0000-1200-000008000000}" name="اجمالي" totalsRowFunction="sum" dataDxfId="1543" totalsRowDxfId="1553">
      <calculatedColumnFormula>B18*J18</calculatedColumnFormula>
    </tableColumn>
    <tableColumn id="9" xr3:uid="{00000000-0010-0000-1200-000009000000}" name="%" totalsRowFunction="custom" totalsRowDxfId="155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34"/>
    <tableColumn id="2" xr3:uid="{00000000-0010-0000-1300-000002000000}" name="عدد" totalsRowFunction="count" dataDxfId="1539">
      <calculatedColumnFormula>B30*4</calculatedColumnFormula>
    </tableColumn>
    <tableColumn id="3" xr3:uid="{00000000-0010-0000-1300-000003000000}" name="بيان" totalsRowLabel="Total" dataDxfId="1534"/>
    <tableColumn id="11" xr3:uid="{00000000-0010-0000-1300-00000B000000}" name="Column2" dataDxfId="1534"/>
    <tableColumn id="10" xr3:uid="{00000000-0010-0000-1300-00000A000000}" name="Column1" dataDxfId="1534"/>
    <tableColumn id="12" xr3:uid="{00000000-0010-0000-1300-00000C000000}" name="Column12" totalsRowFunction="sum" dataDxfId="155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3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39">
      <calculatedColumnFormula>$H$2/1000</calculatedColumnFormula>
    </tableColumn>
    <tableColumn id="7" xr3:uid="{00000000-0010-0000-1300-000007000000}" name="سعر الشبك " dataDxfId="1545">
      <calculatedColumnFormula>H31*$H$2/1000</calculatedColumnFormula>
    </tableColumn>
    <tableColumn id="8" xr3:uid="{00000000-0010-0000-1300-000008000000}" name="اجمالي" totalsRowFunction="sum" dataDxfId="1543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556"/>
    <tableColumn id="2" xr3:uid="{00000000-0010-0000-1400-000002000000}" name="المعدل" dataDxfId="1355"/>
    <tableColumn id="3" xr3:uid="{00000000-0010-0000-1400-000003000000}" name="الوحدة" dataDxfId="1557"/>
    <tableColumn id="4" xr3:uid="{00000000-0010-0000-1400-000004000000}" name="Column4" dataDxfId="155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34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50"/>
    <tableColumn id="11" xr3:uid="{00000000-0010-0000-1500-00000B000000}" name="Column2" dataDxfId="1550"/>
    <tableColumn id="10" xr3:uid="{00000000-0010-0000-1500-00000A000000}" name="Column1" dataDxfId="1558"/>
    <tableColumn id="12" xr3:uid="{00000000-0010-0000-1500-00000C000000}" name="Column12" totalsRowFunction="sum" dataDxfId="1559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543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534"/>
    <tableColumn id="2" xr3:uid="{00000000-0010-0000-1600-000002000000}" name="عدد" dataDxfId="1534">
      <calculatedColumnFormula>IF((F79="الاسكندرية"),0.25,0.1)</calculatedColumnFormula>
    </tableColumn>
    <tableColumn id="3" xr3:uid="{00000000-0010-0000-1600-000003000000}" name="بيان برجولا رويال" totalsRowLabel="Total" dataDxfId="1534"/>
    <tableColumn id="12" xr3:uid="{00000000-0010-0000-1600-00000C000000}" name="Column12" totalsRowFunction="sum" dataDxfId="1551"/>
    <tableColumn id="5" xr3:uid="{00000000-0010-0000-1600-000005000000}" name="Column1" dataDxfId="1534"/>
    <tableColumn id="11" xr3:uid="{00000000-0010-0000-1600-00000B000000}" name="العرض" dataDxfId="1550"/>
    <tableColumn id="10" xr3:uid="{00000000-0010-0000-1600-00000A000000}" name="الامتداد" dataDxfId="1539"/>
    <tableColumn id="4" xr3:uid="{00000000-0010-0000-1600-000004000000}" name="سعر المتر" dataDxfId="1560"/>
    <tableColumn id="6" xr3:uid="{00000000-0010-0000-1600-000006000000}" name="Column2" dataDxfId="1359"/>
    <tableColumn id="7" xr3:uid="{00000000-0010-0000-1600-000007000000}" name="سعر البرجولا كاملة" dataDxfId="1545">
      <calculatedColumnFormula>K58</calculatedColumnFormula>
    </tableColumn>
    <tableColumn id="8" xr3:uid="{00000000-0010-0000-1600-000008000000}" name="اجمالي" totalsRowFunction="sum" dataDxfId="1543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534" totalsRowDxfId="1535"/>
    <tableColumn id="2" xr3:uid="{00000000-0010-0000-1700-000002000000}" name="عدد" dataDxfId="1561" totalsRowDxfId="1535">
      <calculatedColumnFormula>B65</calculatedColumnFormula>
    </tableColumn>
    <tableColumn id="3" xr3:uid="{00000000-0010-0000-1700-000003000000}" name="بيان" totalsRowLabel="Total" dataDxfId="1358" totalsRowDxfId="1535"/>
    <tableColumn id="5" xr3:uid="{00000000-0010-0000-1700-000005000000}" name="اليومية / الاجرة" dataDxfId="1562" totalsRowDxfId="1535"/>
    <tableColumn id="6" xr3:uid="{00000000-0010-0000-1700-000006000000}" name="بدل الوجبة" dataDxfId="1563" totalsRowDxfId="1535"/>
    <tableColumn id="11" xr3:uid="{00000000-0010-0000-1700-00000B000000}" name="موقع العمل" dataDxfId="1550" totalsRowDxfId="1535">
      <calculatedColumnFormula>تسعير!$T$24</calculatedColumnFormula>
    </tableColumn>
    <tableColumn id="10" xr3:uid="{00000000-0010-0000-1700-00000A000000}" name="شيفت العمل" dataDxfId="1534" totalsRowDxfId="1535"/>
    <tableColumn id="12" xr3:uid="{00000000-0010-0000-1700-00000C000000}" name="Column12" totalsRowFunction="sum" dataDxfId="1551" totalsRowDxfId="1555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535"/>
    <tableColumn id="7" xr3:uid="{00000000-0010-0000-1700-000007000000}" name="اجمالي التكلفة للعامل" dataDxfId="1368" totalsRowDxfId="1552">
      <calculatedColumnFormula>Table161229[[#This Row],[Column12]]</calculatedColumnFormula>
    </tableColumn>
    <tableColumn id="8" xr3:uid="{00000000-0010-0000-1700-000008000000}" name="اجمالي" totalsRowFunction="sum" dataDxfId="1543" totalsRowDxfId="1553">
      <calculatedColumnFormula>B68*J68</calculatedColumnFormula>
    </tableColumn>
    <tableColumn id="9" xr3:uid="{00000000-0010-0000-1700-000009000000}" name="%" totalsRowFunction="custom" totalsRowDxfId="155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550" totalsRowDxfId="1535"/>
    <tableColumn id="2" xr3:uid="{00000000-0010-0000-1800-000002000000}" name="عدد" dataDxfId="1546" totalsRowDxfId="153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50" totalsRowDxfId="1535"/>
    <tableColumn id="11" xr3:uid="{00000000-0010-0000-1800-00000B000000}" name="Column2" dataDxfId="1550" totalsRowDxfId="1535"/>
    <tableColumn id="10" xr3:uid="{00000000-0010-0000-1800-00000A000000}" name="Column1" dataDxfId="1550" totalsRowDxfId="1535"/>
    <tableColumn id="12" xr3:uid="{00000000-0010-0000-1800-00000C000000}" name="Column12" totalsRowFunction="sum" dataDxfId="80" totalsRowDxfId="1555"/>
    <tableColumn id="4" xr3:uid="{00000000-0010-0000-1800-000004000000}" name="الوحده" dataDxfId="1560" totalsRowDxfId="1535"/>
    <tableColumn id="5" xr3:uid="{00000000-0010-0000-1800-000005000000}" name="الوزن" dataDxfId="1550" totalsRowDxfId="1535"/>
    <tableColumn id="6" xr3:uid="{00000000-0010-0000-1800-000006000000}" name="سعر الكيلو" dataDxfId="1550" totalsRowDxfId="1535"/>
    <tableColumn id="7" xr3:uid="{00000000-0010-0000-1800-000007000000}" name="سعر الشبك " dataDxfId="1366" totalsRowDxfId="1552"/>
    <tableColumn id="8" xr3:uid="{00000000-0010-0000-1800-000008000000}" name="اجمالي" totalsRowFunction="sum" dataDxfId="1543" totalsRowDxfId="1553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57"/>
    <tableColumn id="2" xr3:uid="{00000000-0010-0000-1900-000002000000}" name="خارجي" dataDxfId="1557"/>
    <tableColumn id="3" xr3:uid="{00000000-0010-0000-1900-000003000000}" name="داخلي" dataDxfId="1557"/>
    <tableColumn id="4" xr3:uid="{00000000-0010-0000-1900-000004000000}" name="بدل الوجبة" dataDxfId="1557"/>
    <tableColumn id="5" xr3:uid="{00000000-0010-0000-1900-000005000000}" name="دبابة" dataDxfId="1557"/>
    <tableColumn id="6" xr3:uid="{00000000-0010-0000-1900-000006000000}" name="جامبو" dataDxfId="1557"/>
    <tableColumn id="7" xr3:uid="{00000000-0010-0000-1900-000007000000}" name="الاقامة" dataDxfId="1557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550"/>
    <tableColumn id="4" xr3:uid="{00000000-0010-0000-1A00-000004000000}" name="Column22" dataDxfId="1550"/>
    <tableColumn id="5" xr3:uid="{00000000-0010-0000-1A00-000005000000}" name="Column23" dataDxfId="1550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549" totalsRowDxfId="825"/>
    <tableColumn id="6" xr3:uid="{00000000-0010-0000-1B00-000006000000}" name="الطول بالمتر" dataDxfId="1549" totalsRowDxfId="1370"/>
    <tableColumn id="5" xr3:uid="{00000000-0010-0000-1B00-000005000000}" name="وزن المتر " dataDxfId="1549" totalsRowDxfId="1370"/>
    <tableColumn id="4" xr3:uid="{00000000-0010-0000-1B00-000004000000}" name="سعر الكيلو" dataDxfId="1549" totalsRowDxfId="1564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549" totalsRowDxfId="1565"/>
    <tableColumn id="10" xr3:uid="{00000000-0010-0000-1B00-00000A000000}" name="Column2" dataDxfId="1549" totalsRowDxfId="1565"/>
    <tableColumn id="11" xr3:uid="{00000000-0010-0000-1B00-00000B000000}" name="Column3" dataDxfId="1549" totalsRowDxfId="1565"/>
    <tableColumn id="12" xr3:uid="{00000000-0010-0000-1B00-00000C000000}" name="Column4" dataDxfId="1549" totalsRowDxfId="156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34" totalsRowDxfId="1535"/>
    <tableColumn id="2" xr3:uid="{00000000-0010-0000-1C00-000002000000}" name="عدد" dataDxfId="1539" totalsRowDxfId="1535"/>
    <tableColumn id="3" xr3:uid="{00000000-0010-0000-1C00-000003000000}" name="بيان" totalsRowLabel="Total" dataDxfId="1534" totalsRowDxfId="1535"/>
    <tableColumn id="11" xr3:uid="{00000000-0010-0000-1C00-00000B000000}" name="Column2" dataDxfId="1534" totalsRowDxfId="1535"/>
    <tableColumn id="10" xr3:uid="{00000000-0010-0000-1C00-00000A000000}" name="Column1" dataDxfId="1534" totalsRowDxfId="1535"/>
    <tableColumn id="12" xr3:uid="{00000000-0010-0000-1C00-00000C000000}" name="Column12" dataDxfId="1534" totalsRowDxfId="1535"/>
    <tableColumn id="4" xr3:uid="{00000000-0010-0000-1C00-000004000000}" name="الوحده" totalsRowLabel="total" dataDxfId="1534" totalsRowDxfId="1535"/>
    <tableColumn id="5" xr3:uid="{00000000-0010-0000-1C00-000005000000}" name="الوزن" dataDxfId="1534" totalsRowDxfId="1535"/>
    <tableColumn id="6" xr3:uid="{00000000-0010-0000-1C00-000006000000}" name="سعر الكيلو" dataDxfId="1534" totalsRowDxfId="1535"/>
    <tableColumn id="7" xr3:uid="{00000000-0010-0000-1C00-000007000000}" name="سعر الشبك " dataDxfId="1545" totalsRowDxfId="1552">
      <calculatedColumnFormula>Sheet2!B2</calculatedColumnFormula>
    </tableColumn>
    <tableColumn id="8" xr3:uid="{00000000-0010-0000-1C00-000008000000}" name="اجمالي" totalsRowFunction="sum" dataDxfId="1543" totalsRowDxfId="1553">
      <calculatedColumnFormula>M26*U26</calculatedColumnFormula>
    </tableColumn>
    <tableColumn id="9" xr3:uid="{00000000-0010-0000-1C00-000009000000}" name="%" totalsRowFunction="custom" totalsRowDxfId="155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34" totalsRowDxfId="1535"/>
    <tableColumn id="2" xr3:uid="{00000000-0010-0000-1D00-000002000000}" name="عدد" dataDxfId="1539" totalsRowDxfId="1535"/>
    <tableColumn id="3" xr3:uid="{00000000-0010-0000-1D00-000003000000}" name="بيان" totalsRowLabel="Total" dataDxfId="1534" totalsRowDxfId="1535"/>
    <tableColumn id="11" xr3:uid="{00000000-0010-0000-1D00-00000B000000}" name="Column2" dataDxfId="1534" totalsRowDxfId="1535"/>
    <tableColumn id="10" xr3:uid="{00000000-0010-0000-1D00-00000A000000}" name="Column1" dataDxfId="1534" totalsRowDxfId="1535"/>
    <tableColumn id="12" xr3:uid="{00000000-0010-0000-1D00-00000C000000}" name="Column12" dataDxfId="1551" totalsRowDxfId="1555"/>
    <tableColumn id="4" xr3:uid="{00000000-0010-0000-1D00-000004000000}" name="الوحده" dataDxfId="1534" totalsRowDxfId="1535"/>
    <tableColumn id="5" xr3:uid="{00000000-0010-0000-1D00-000005000000}" name="الوزن" dataDxfId="1534" totalsRowDxfId="1535"/>
    <tableColumn id="6" xr3:uid="{00000000-0010-0000-1D00-000006000000}" name="سعر الكيلو" dataDxfId="1534" totalsRowDxfId="1535"/>
    <tableColumn id="7" xr3:uid="{00000000-0010-0000-1D00-000007000000}" name="سعر الشبك " dataDxfId="1545" totalsRowDxfId="1552">
      <calculatedColumnFormula>Sheet2!B24</calculatedColumnFormula>
    </tableColumn>
    <tableColumn id="8" xr3:uid="{00000000-0010-0000-1D00-000008000000}" name="اجمالي" totalsRowFunction="sum" dataDxfId="1543" totalsRowDxfId="1553">
      <calculatedColumnFormula>M11*U11</calculatedColumnFormula>
    </tableColumn>
    <tableColumn id="9" xr3:uid="{00000000-0010-0000-1D00-000009000000}" name="%" totalsRowFunction="custom" totalsRowDxfId="155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34"/>
    <tableColumn id="2" xr3:uid="{00000000-0010-0000-1E00-000002000000}" name="عدد" totalsRowFunction="count" dataDxfId="1534">
      <calculatedColumnFormula>M20*4</calculatedColumnFormula>
    </tableColumn>
    <tableColumn id="3" xr3:uid="{00000000-0010-0000-1E00-000003000000}" name="بيان" totalsRowLabel="Total" dataDxfId="1534"/>
    <tableColumn id="11" xr3:uid="{00000000-0010-0000-1E00-00000B000000}" name="Column2" dataDxfId="1534"/>
    <tableColumn id="10" xr3:uid="{00000000-0010-0000-1E00-00000A000000}" name="Column1" dataDxfId="1534"/>
    <tableColumn id="12" xr3:uid="{00000000-0010-0000-1E00-00000C000000}" name="Column12" totalsRowFunction="sum" dataDxfId="155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3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39"/>
    <tableColumn id="7" xr3:uid="{00000000-0010-0000-1E00-000007000000}" name="سعر الشبك " dataDxfId="1545">
      <calculatedColumnFormula>S21*$S$2/1000</calculatedColumnFormula>
    </tableColumn>
    <tableColumn id="8" xr3:uid="{00000000-0010-0000-1E00-000008000000}" name="اجمالي" totalsRowFunction="sum" dataDxfId="1543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57"/>
    <tableColumn id="2" xr3:uid="{00000000-0010-0000-1F00-000002000000}" name="المعدل" dataDxfId="1557"/>
    <tableColumn id="3" xr3:uid="{00000000-0010-0000-1F00-000003000000}" name="الوحدة" dataDxfId="1557"/>
    <tableColumn id="4" xr3:uid="{00000000-0010-0000-1F00-000004000000}" name="Column4" dataDxfId="1566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57"/>
    <tableColumn id="2" xr3:uid="{00000000-0010-0000-2000-000002000000}" name="Column2" dataDxfId="1556"/>
    <tableColumn id="3" xr3:uid="{00000000-0010-0000-2000-000003000000}" name="Column3" dataDxfId="1557"/>
    <tableColumn id="4" xr3:uid="{00000000-0010-0000-2000-000004000000}" name="Column4" dataDxfId="1557"/>
    <tableColumn id="5" xr3:uid="{00000000-0010-0000-2000-000005000000}" name="Column5" dataDxfId="155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34" totalsRowDxfId="1535"/>
    <tableColumn id="2" xr3:uid="{00000000-0010-0000-2100-000002000000}" name="عدد" dataDxfId="1567" totalsRowDxfId="1535">
      <calculatedColumnFormula>IF((تسعير!$AU$14="بالتات"),0,M52-2)</calculatedColumnFormula>
    </tableColumn>
    <tableColumn id="3" xr3:uid="{00000000-0010-0000-2100-000003000000}" name="بيان" totalsRowLabel="Total" dataDxfId="1358" totalsRowDxfId="1535"/>
    <tableColumn id="5" xr3:uid="{00000000-0010-0000-2100-000005000000}" name="اليومية / الاجرة" dataDxfId="1568" totalsRowDxfId="1535"/>
    <tableColumn id="6" xr3:uid="{00000000-0010-0000-2100-000006000000}" name="بدل الوجبة" dataDxfId="1359" totalsRowDxfId="1535"/>
    <tableColumn id="11" xr3:uid="{00000000-0010-0000-2100-00000B000000}" name="موقع العمل" dataDxfId="1550" totalsRowDxfId="1535">
      <calculatedColumnFormula>تسعير!$AT$4</calculatedColumnFormula>
    </tableColumn>
    <tableColumn id="10" xr3:uid="{00000000-0010-0000-2100-00000A000000}" name="شيفت العمل" dataDxfId="1534" totalsRowDxfId="1535"/>
    <tableColumn id="12" xr3:uid="{00000000-0010-0000-2100-00000C000000}" name="Column12" totalsRowFunction="sum" dataDxfId="1551" totalsRowDxfId="1555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535"/>
    <tableColumn id="7" xr3:uid="{00000000-0010-0000-2100-000007000000}" name="اجمالي التكلفة للعامل" dataDxfId="1368" totalsRowDxfId="1552">
      <calculatedColumnFormula>Table161267[[#This Row],[Column12]]</calculatedColumnFormula>
    </tableColumn>
    <tableColumn id="8" xr3:uid="{00000000-0010-0000-2100-000008000000}" name="اجمالي" totalsRowFunction="sum" dataDxfId="1543" totalsRowDxfId="1553">
      <calculatedColumnFormula>M55*U55</calculatedColumnFormula>
    </tableColumn>
    <tableColumn id="9" xr3:uid="{00000000-0010-0000-2100-000009000000}" name="%" totalsRowFunction="custom" totalsRowDxfId="155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50"/>
    <tableColumn id="2" xr3:uid="{00000000-0010-0000-2200-000002000000}" name="عدد" dataDxfId="1567">
      <calculatedColumnFormula>IF((Q65="الاسكندرية"),0.25,0.1)</calculatedColumnFormula>
    </tableColumn>
    <tableColumn id="3" xr3:uid="{00000000-0010-0000-2200-000003000000}" name="بيان" totalsRowLabel="Total" dataDxfId="1550"/>
    <tableColumn id="11" xr3:uid="{00000000-0010-0000-2200-00000B000000}" name="Column2" dataDxfId="1550"/>
    <tableColumn id="10" xr3:uid="{00000000-0010-0000-2200-00000A000000}" name="Column1" dataDxfId="1550"/>
    <tableColumn id="12" xr3:uid="{00000000-0010-0000-2200-00000C000000}" name="Column12" totalsRowFunction="sum" dataDxfId="1371"/>
    <tableColumn id="4" xr3:uid="{00000000-0010-0000-2200-000004000000}" name="الوحده" dataDxfId="1560"/>
    <tableColumn id="5" xr3:uid="{00000000-0010-0000-2200-000005000000}" name="الوزن" dataDxfId="1550"/>
    <tableColumn id="6" xr3:uid="{00000000-0010-0000-2200-000006000000}" name="سعر الكيلو" dataDxfId="1550"/>
    <tableColumn id="7" xr3:uid="{00000000-0010-0000-2200-000007000000}" name="سعر الشبك " dataDxfId="1569">
      <calculatedColumnFormula>V48</calculatedColumnFormula>
    </tableColumn>
    <tableColumn id="8" xr3:uid="{00000000-0010-0000-2200-000008000000}" name="اجمالي" totalsRowFunction="sum" dataDxfId="1543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57"/>
    <tableColumn id="2" xr3:uid="{00000000-0010-0000-2300-000002000000}" name="خارجي" dataDxfId="1557"/>
    <tableColumn id="3" xr3:uid="{00000000-0010-0000-2300-000003000000}" name="داخلي" dataDxfId="1557"/>
    <tableColumn id="4" xr3:uid="{00000000-0010-0000-2300-000004000000}" name="بدل الوجبة" dataDxfId="1557"/>
    <tableColumn id="5" xr3:uid="{00000000-0010-0000-2300-000005000000}" name="دبابة" dataDxfId="1557"/>
    <tableColumn id="6" xr3:uid="{00000000-0010-0000-2300-000006000000}" name="جامبو" dataDxfId="1557"/>
    <tableColumn id="7" xr3:uid="{00000000-0010-0000-2300-000007000000}" name="الاقامة" dataDxfId="1557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50"/>
    <tableColumn id="4" xr3:uid="{00000000-0010-0000-2400-000004000000}" name="Column22" dataDxfId="1550"/>
    <tableColumn id="5" xr3:uid="{00000000-0010-0000-2400-000005000000}" name="Column23" dataDxfId="1550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56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34"/>
    <tableColumn id="2" xr3:uid="{00000000-0010-0000-2500-000002000000}" name="عدد" dataDxfId="1534">
      <calculatedColumnFormula>IF((N2="A1"),2,IF((N2="A2"),3,IF((N2="B1"),2.5,IF((N2="B2"),3,0))))</calculatedColumnFormula>
    </tableColumn>
    <tableColumn id="3" xr3:uid="{00000000-0010-0000-2500-000003000000}" name="بيان" totalsRowLabel="Total" dataDxfId="1534"/>
    <tableColumn id="11" xr3:uid="{00000000-0010-0000-2500-00000B000000}" name="Column2" dataDxfId="1534"/>
    <tableColumn id="10" xr3:uid="{00000000-0010-0000-2500-00000A000000}" name="Column1" dataDxfId="1534"/>
    <tableColumn id="12" xr3:uid="{00000000-0010-0000-2500-00000C000000}" name="المسطح" totalsRowFunction="sum" dataDxfId="155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3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39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43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549" totalsRowDxfId="1565"/>
    <tableColumn id="6" xr3:uid="{00000000-0010-0000-2600-000006000000}" name="الطول بالمتر" dataDxfId="1549" totalsRowDxfId="1565"/>
    <tableColumn id="5" xr3:uid="{00000000-0010-0000-2600-000005000000}" name="وزن المتر " dataDxfId="1549" totalsRowDxfId="1565"/>
    <tableColumn id="4" xr3:uid="{00000000-0010-0000-2600-000004000000}" name="سعر الكيلو" dataDxfId="1549" totalsRowDxfId="1565"/>
    <tableColumn id="3" xr3:uid="{00000000-0010-0000-2600-000003000000}" name="اجمالي عدد " totalsRowFunction="custom" totalsRowDxfId="1565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549" totalsRowDxfId="1565"/>
    <tableColumn id="10" xr3:uid="{00000000-0010-0000-2600-00000A000000}" name="Column2" dataDxfId="1549" totalsRowDxfId="1565"/>
    <tableColumn id="11" xr3:uid="{00000000-0010-0000-2600-00000B000000}" name="Column3" dataDxfId="1549" totalsRowDxfId="1565"/>
    <tableColumn id="12" xr3:uid="{00000000-0010-0000-2600-00000C000000}" name="Column4" dataDxfId="1549" totalsRowDxfId="1565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34" totalsRowDxfId="1535"/>
    <tableColumn id="2" xr3:uid="{00000000-0010-0000-2700-000002000000}" name="عدد" dataDxfId="1539" totalsRowDxfId="1535"/>
    <tableColumn id="3" xr3:uid="{00000000-0010-0000-2700-000003000000}" name="بيان" totalsRowLabel="Total" dataDxfId="1534" totalsRowDxfId="1535"/>
    <tableColumn id="11" xr3:uid="{00000000-0010-0000-2700-00000B000000}" name="Column2" dataDxfId="1534" totalsRowDxfId="1535"/>
    <tableColumn id="10" xr3:uid="{00000000-0010-0000-2700-00000A000000}" name="Column1" dataDxfId="1534" totalsRowDxfId="1535"/>
    <tableColumn id="12" xr3:uid="{00000000-0010-0000-2700-00000C000000}" name="Column12" dataDxfId="1534" totalsRowDxfId="1535"/>
    <tableColumn id="4" xr3:uid="{00000000-0010-0000-2700-000004000000}" name="الوحده" totalsRowLabel="total" dataDxfId="1534" totalsRowDxfId="1535"/>
    <tableColumn id="5" xr3:uid="{00000000-0010-0000-2700-000005000000}" name="الوزن" dataDxfId="1534" totalsRowDxfId="1535"/>
    <tableColumn id="6" xr3:uid="{00000000-0010-0000-2700-000006000000}" name="سعر الكيلو" dataDxfId="1534" totalsRowDxfId="1535"/>
    <tableColumn id="7" xr3:uid="{00000000-0010-0000-2700-000007000000}" name="سعر الشبك " dataDxfId="1545" totalsRowDxfId="1552">
      <calculatedColumnFormula>Sheet2!B2</calculatedColumnFormula>
    </tableColumn>
    <tableColumn id="8" xr3:uid="{00000000-0010-0000-2700-000008000000}" name="اجمالي" totalsRowFunction="sum" dataDxfId="1543" totalsRowDxfId="1553">
      <calculatedColumnFormula>M26*U26</calculatedColumnFormula>
    </tableColumn>
    <tableColumn id="9" xr3:uid="{00000000-0010-0000-2700-000009000000}" name="%" totalsRowFunction="custom" totalsRowDxfId="155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34" totalsRowDxfId="1535"/>
    <tableColumn id="2" xr3:uid="{00000000-0010-0000-2800-000002000000}" name="عدد" dataDxfId="1539" totalsRowDxfId="1535"/>
    <tableColumn id="3" xr3:uid="{00000000-0010-0000-2800-000003000000}" name="بيان" totalsRowLabel="Total" dataDxfId="1534" totalsRowDxfId="1535"/>
    <tableColumn id="11" xr3:uid="{00000000-0010-0000-2800-00000B000000}" name="Column2" dataDxfId="1534" totalsRowDxfId="1535"/>
    <tableColumn id="10" xr3:uid="{00000000-0010-0000-2800-00000A000000}" name="Column1" dataDxfId="1534" totalsRowDxfId="1535"/>
    <tableColumn id="12" xr3:uid="{00000000-0010-0000-2800-00000C000000}" name="Column12" dataDxfId="1551" totalsRowDxfId="1555"/>
    <tableColumn id="4" xr3:uid="{00000000-0010-0000-2800-000004000000}" name="الوحده" dataDxfId="1534" totalsRowDxfId="1535"/>
    <tableColumn id="5" xr3:uid="{00000000-0010-0000-2800-000005000000}" name="الوزن" dataDxfId="1534" totalsRowDxfId="1535"/>
    <tableColumn id="6" xr3:uid="{00000000-0010-0000-2800-000006000000}" name="سعر الكيلو" dataDxfId="1534" totalsRowDxfId="1535"/>
    <tableColumn id="7" xr3:uid="{00000000-0010-0000-2800-000007000000}" name="سعر الشبك " dataDxfId="1545" totalsRowDxfId="1552">
      <calculatedColumnFormula>Sheet2!B24</calculatedColumnFormula>
    </tableColumn>
    <tableColumn id="8" xr3:uid="{00000000-0010-0000-2800-000008000000}" name="اجمالي" totalsRowFunction="sum" dataDxfId="1543" totalsRowDxfId="1553">
      <calculatedColumnFormula>M11*U11</calculatedColumnFormula>
    </tableColumn>
    <tableColumn id="9" xr3:uid="{00000000-0010-0000-2800-000009000000}" name="%" totalsRowFunction="custom" totalsRowDxfId="155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34"/>
    <tableColumn id="2" xr3:uid="{00000000-0010-0000-2900-000002000000}" name="عدد" totalsRowFunction="count" dataDxfId="1534">
      <calculatedColumnFormula>M20*4</calculatedColumnFormula>
    </tableColumn>
    <tableColumn id="3" xr3:uid="{00000000-0010-0000-2900-000003000000}" name="بيان" totalsRowLabel="Total" dataDxfId="1534"/>
    <tableColumn id="11" xr3:uid="{00000000-0010-0000-2900-00000B000000}" name="Column2" dataDxfId="1534"/>
    <tableColumn id="10" xr3:uid="{00000000-0010-0000-2900-00000A000000}" name="Column1" dataDxfId="1534"/>
    <tableColumn id="12" xr3:uid="{00000000-0010-0000-2900-00000C000000}" name="Column12" totalsRowFunction="sum" dataDxfId="155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3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39"/>
    <tableColumn id="7" xr3:uid="{00000000-0010-0000-2900-000007000000}" name="سعر الشبك " dataDxfId="1545">
      <calculatedColumnFormula>S21*$S$2/1000</calculatedColumnFormula>
    </tableColumn>
    <tableColumn id="8" xr3:uid="{00000000-0010-0000-2900-000008000000}" name="اجمالي" totalsRowFunction="sum" dataDxfId="1543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57"/>
    <tableColumn id="2" xr3:uid="{00000000-0010-0000-2A00-000002000000}" name="المعدل" dataDxfId="1557"/>
    <tableColumn id="3" xr3:uid="{00000000-0010-0000-2A00-000003000000}" name="الوحدة" dataDxfId="1557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34" totalsRowDxfId="1535"/>
    <tableColumn id="2" xr3:uid="{00000000-0010-0000-2B00-000002000000}" name="عدد" dataDxfId="1567" totalsRowDxfId="1535">
      <calculatedColumnFormula>IF((تسعير!$BF$14="بالتات"),0,M52-2)</calculatedColumnFormula>
    </tableColumn>
    <tableColumn id="3" xr3:uid="{00000000-0010-0000-2B00-000003000000}" name="بيان" totalsRowLabel="Total" dataDxfId="1568" totalsRowDxfId="1535"/>
    <tableColumn id="5" xr3:uid="{00000000-0010-0000-2B00-000005000000}" name="اليومية / الاجرة" dataDxfId="1568" totalsRowDxfId="1535"/>
    <tableColumn id="6" xr3:uid="{00000000-0010-0000-2B00-000006000000}" name="بدل الوجبة" dataDxfId="1570" totalsRowDxfId="1535"/>
    <tableColumn id="11" xr3:uid="{00000000-0010-0000-2B00-00000B000000}" name="موقع العمل" dataDxfId="1550" totalsRowDxfId="1535">
      <calculatedColumnFormula>تسعير!$BE$4</calculatedColumnFormula>
    </tableColumn>
    <tableColumn id="10" xr3:uid="{00000000-0010-0000-2B00-00000A000000}" name="شيفت العمل" dataDxfId="1534" totalsRowDxfId="1535"/>
    <tableColumn id="12" xr3:uid="{00000000-0010-0000-2B00-00000C000000}" name="Column12" totalsRowFunction="sum" dataDxfId="1551" totalsRowDxfId="1555"/>
    <tableColumn id="4" xr3:uid="{00000000-0010-0000-2B00-000004000000}" name="عدد الايام" dataDxfId="1571" totalsRowDxfId="1535"/>
    <tableColumn id="7" xr3:uid="{00000000-0010-0000-2B00-000007000000}" name="اجمالي التكلفة للعامل" dataDxfId="1572" totalsRowDxfId="1552">
      <calculatedColumnFormula>Table16126744[[#This Row],[Column12]]</calculatedColumnFormula>
    </tableColumn>
    <tableColumn id="8" xr3:uid="{00000000-0010-0000-2B00-000008000000}" name="اجمالي" totalsRowFunction="sum" dataDxfId="1543" totalsRowDxfId="1553">
      <calculatedColumnFormula>M55*U55</calculatedColumnFormula>
    </tableColumn>
    <tableColumn id="9" xr3:uid="{00000000-0010-0000-2B00-000009000000}" name="%" totalsRowFunction="custom" totalsRowDxfId="155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50"/>
    <tableColumn id="2" xr3:uid="{00000000-0010-0000-2C00-000002000000}" name="عدد" dataDxfId="1567">
      <calculatedColumnFormula>IF((Q65="الاسكندرية"),0.25,0.1)</calculatedColumnFormula>
    </tableColumn>
    <tableColumn id="3" xr3:uid="{00000000-0010-0000-2C00-000003000000}" name="بيان" totalsRowLabel="Total" dataDxfId="1550"/>
    <tableColumn id="11" xr3:uid="{00000000-0010-0000-2C00-00000B000000}" name="Column2" dataDxfId="1550"/>
    <tableColumn id="10" xr3:uid="{00000000-0010-0000-2C00-00000A000000}" name="Column1" dataDxfId="1550"/>
    <tableColumn id="12" xr3:uid="{00000000-0010-0000-2C00-00000C000000}" name="Column12" totalsRowFunction="sum" dataDxfId="1371"/>
    <tableColumn id="4" xr3:uid="{00000000-0010-0000-2C00-000004000000}" name="الوحده" dataDxfId="1560"/>
    <tableColumn id="5" xr3:uid="{00000000-0010-0000-2C00-000005000000}" name="الوزن" dataDxfId="1550"/>
    <tableColumn id="6" xr3:uid="{00000000-0010-0000-2C00-000006000000}" name="سعر الكيلو" dataDxfId="1550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543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549"/>
    <tableColumn id="2" xr3:uid="{00000000-0010-0000-2D00-000002000000}" name="خارجي" dataDxfId="1549"/>
    <tableColumn id="3" xr3:uid="{00000000-0010-0000-2D00-000003000000}" name="داخلي" dataDxfId="1549"/>
    <tableColumn id="4" xr3:uid="{00000000-0010-0000-2D00-000004000000}" name="بدل الوجبة" dataDxfId="1549"/>
    <tableColumn id="5" xr3:uid="{00000000-0010-0000-2D00-000005000000}" name="دبابة" dataDxfId="1549"/>
    <tableColumn id="6" xr3:uid="{00000000-0010-0000-2D00-000006000000}" name="جامبو" dataDxfId="1549"/>
    <tableColumn id="7" xr3:uid="{00000000-0010-0000-2D00-000007000000}" name="الاقامة" dataDxfId="1549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50"/>
    <tableColumn id="4" xr3:uid="{00000000-0010-0000-2E00-000004000000}" name="Column22" dataDxfId="1550"/>
    <tableColumn id="5" xr3:uid="{00000000-0010-0000-2E00-000005000000}" name="Column23" dataDxfId="1550"/>
    <tableColumn id="3" xr3:uid="{00000000-0010-0000-2E00-000003000000}" name="Column3" dataDxfId="1573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56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34"/>
    <tableColumn id="2" xr3:uid="{00000000-0010-0000-2F00-000002000000}" name="عدد" dataDxfId="1534">
      <calculatedColumnFormula>IF((N2="c1"),3,IF((N2="c2"),4,IF((N2="d1"),4,IF((N2="d2"),5,0))))</calculatedColumnFormula>
    </tableColumn>
    <tableColumn id="3" xr3:uid="{00000000-0010-0000-2F00-000003000000}" name="بيان" totalsRowLabel="Total" dataDxfId="1534"/>
    <tableColumn id="11" xr3:uid="{00000000-0010-0000-2F00-00000B000000}" name="Column2" dataDxfId="1534"/>
    <tableColumn id="10" xr3:uid="{00000000-0010-0000-2F00-00000A000000}" name="Column1" dataDxfId="1534"/>
    <tableColumn id="12" xr3:uid="{00000000-0010-0000-2F00-00000C000000}" name="المسطح" totalsRowFunction="sum" dataDxfId="155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3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39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543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549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532" totalsRowDxfId="1533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34" totalsRowDxfId="1535"/>
    <tableColumn id="5" xr3:uid="{00000000-0010-0000-0400-000005000000}" name="الوزن" totalsRowFunction="custom" totalsRowDxfId="1535">
      <totalsRowFormula>(H6*B6)+(H8*B8)+(H7*B7)</totalsRowFormula>
    </tableColumn>
    <tableColumn id="6" xr3:uid="{00000000-0010-0000-0400-000006000000}" name="مسطح" dataDxfId="47" totalsRowDxfId="1535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549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549" totalsRowDxfId="702"/>
    <tableColumn id="2" xr3:uid="{00000000-0010-0000-3200-000002000000}" name="عدد/الشمسية" dataDxfId="678" totalsRowDxfId="698"/>
    <tableColumn id="3" xr3:uid="{00000000-0010-0000-3200-000003000000}" name="سعر الوحدة" dataDxfId="1549" totalsRowDxfId="1375"/>
    <tableColumn id="4" xr3:uid="{00000000-0010-0000-3200-000004000000}" name="قيمة" totalsRowFunction="sum" dataDxfId="1549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549"/>
    <tableColumn id="2" xr3:uid="{00000000-0010-0000-3300-000002000000}" name="امتار عادية" dataDxfId="1549"/>
    <tableColumn id="4" xr3:uid="{00000000-0010-0000-3300-000004000000}" name="امتار single" dataDxfId="1549"/>
    <tableColumn id="6" xr3:uid="{00000000-0010-0000-3300-000006000000}" name="امتار douple" dataDxfId="1549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549"/>
    <tableColumn id="2" xr3:uid="{00000000-0010-0000-3400-000002000000}" name="Column2" dataDxfId="1549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548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549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549" totalsRowDxfId="1555"/>
    <tableColumn id="2" xr3:uid="{00000000-0010-0000-3900-000002000000}" name="عدد/الشمسية" dataDxfId="1379" totalsRowDxfId="1555"/>
    <tableColumn id="3" xr3:uid="{00000000-0010-0000-3900-000003000000}" name="سعر الوحدة" dataDxfId="1549" totalsRowDxfId="1555"/>
    <tableColumn id="4" xr3:uid="{00000000-0010-0000-3900-000004000000}" name="قيمة" totalsRowFunction="sum" dataDxfId="1549" totalsRowDxfId="1555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549"/>
    <tableColumn id="2" xr3:uid="{00000000-0010-0000-3A00-000002000000}" name="امتار عادية" dataDxfId="1549"/>
    <tableColumn id="4" xr3:uid="{00000000-0010-0000-3A00-000004000000}" name="امتار single" dataDxfId="1549"/>
    <tableColumn id="6" xr3:uid="{00000000-0010-0000-3A00-000006000000}" name="امتار douple" dataDxfId="154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34" totalsRowDxfId="1535"/>
    <tableColumn id="2" xr3:uid="{00000000-0010-0000-0500-000002000000}" name="عدد" dataDxfId="1532" totalsRowDxfId="15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34" totalsRowDxfId="1535"/>
    <tableColumn id="11" xr3:uid="{00000000-0010-0000-0500-00000B000000}" name="Column2" dataDxfId="1534" totalsRowDxfId="1535"/>
    <tableColumn id="10" xr3:uid="{00000000-0010-0000-0500-00000A000000}" name="Column1" dataDxfId="1534" totalsRowDxfId="1535"/>
    <tableColumn id="12" xr3:uid="{00000000-0010-0000-0500-00000C000000}" name="Column12" dataDxfId="1534" totalsRowDxfId="1535"/>
    <tableColumn id="4" xr3:uid="{00000000-0010-0000-0500-000004000000}" name="الوحده" totalsRowLabel="total" dataDxfId="1534" totalsRowDxfId="1535"/>
    <tableColumn id="5" xr3:uid="{00000000-0010-0000-0500-000005000000}" name="الوزن" dataDxfId="1534" totalsRowDxfId="1535"/>
    <tableColumn id="6" xr3:uid="{00000000-0010-0000-0500-000006000000}" name="سعر الكيلو" dataDxfId="1534" totalsRowDxfId="1535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549"/>
    <tableColumn id="2" xr3:uid="{00000000-0010-0000-3B00-000002000000}" name="Column2" dataDxfId="1549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574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575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567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568" totalsRowDxfId="1382"/>
    <tableColumn id="6" xr3:uid="{00000000-0010-0000-3F00-000006000000}" name="بدل الوجبة" dataDxfId="1570" totalsRowDxfId="1576"/>
    <tableColumn id="11" xr3:uid="{00000000-0010-0000-3F00-00000B000000}" name="موقع العمل" dataDxfId="1550" totalsRowDxfId="1382">
      <calculatedColumnFormula>تسعير!$T$45</calculatedColumnFormula>
    </tableColumn>
    <tableColumn id="10" xr3:uid="{00000000-0010-0000-3F00-00000A000000}" name="شيفت العمل" dataDxfId="1534" totalsRowDxfId="1577"/>
    <tableColumn id="12" xr3:uid="{00000000-0010-0000-3F00-00000C000000}" name="Column12" totalsRowFunction="sum" dataDxfId="1551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577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543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50"/>
    <tableColumn id="4" xr3:uid="{00000000-0010-0000-4000-000004000000}" name="Column22" dataDxfId="1550"/>
    <tableColumn id="5" xr3:uid="{00000000-0010-0000-4000-000005000000}" name="Column23" dataDxfId="1550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56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578" totalsRowDxfId="157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575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61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567" totalsRowDxfId="1577">
      <calculatedColumnFormula>I61</calculatedColumnFormula>
    </tableColumn>
    <tableColumn id="3" xr3:uid="{00000000-0010-0000-4200-000003000000}" name="بيان" totalsRowLabel="Total" dataDxfId="1385" totalsRowDxfId="1577"/>
    <tableColumn id="5" xr3:uid="{00000000-0010-0000-4200-000005000000}" name="اليومية / الاجرة" dataDxfId="1568" totalsRowDxfId="1577"/>
    <tableColumn id="6" xr3:uid="{00000000-0010-0000-4200-000006000000}" name="بدل الوجبة" dataDxfId="1570" totalsRowDxfId="1577"/>
    <tableColumn id="11" xr3:uid="{00000000-0010-0000-4200-00000B000000}" name="موقع العمل" dataDxfId="1550" totalsRowDxfId="1577">
      <calculatedColumnFormula>تسعير!$T$63</calculatedColumnFormula>
    </tableColumn>
    <tableColumn id="10" xr3:uid="{00000000-0010-0000-4200-00000A000000}" name="شيفت العمل" dataDxfId="1534" totalsRowDxfId="1577"/>
    <tableColumn id="12" xr3:uid="{00000000-0010-0000-4200-00000C000000}" name="Column12" totalsRowFunction="sum" dataDxfId="1551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580" totalsRowDxfId="1577"/>
    <tableColumn id="7" xr3:uid="{00000000-0010-0000-4200-000007000000}" name="اجمالي التكلفة للعامل" dataDxfId="1581" totalsRowDxfId="1387">
      <calculatedColumnFormula>Table16124360[[#This Row],[Column12]]</calculatedColumnFormula>
    </tableColumn>
    <tableColumn id="8" xr3:uid="{00000000-0010-0000-4200-000008000000}" name="اجمالي" totalsRowFunction="sum" dataDxfId="1543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50"/>
    <tableColumn id="4" xr3:uid="{00000000-0010-0000-4300-000004000000}" name="Column22" dataDxfId="1550"/>
    <tableColumn id="5" xr3:uid="{00000000-0010-0000-4300-000005000000}" name="Column23" dataDxfId="1550"/>
    <tableColumn id="3" xr3:uid="{00000000-0010-0000-4300-000003000000}" name="Column3" dataDxfId="1582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56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34" totalsRowDxfId="1535"/>
    <tableColumn id="2" xr3:uid="{00000000-0010-0000-4400-000002000000}" name="عدد" dataDxfId="1539" totalsRowDxfId="1535"/>
    <tableColumn id="3" xr3:uid="{00000000-0010-0000-4400-000003000000}" name="بيان" totalsRowLabel="Total" dataDxfId="1534" totalsRowDxfId="1535"/>
    <tableColumn id="11" xr3:uid="{00000000-0010-0000-4400-00000B000000}" name="Column2" dataDxfId="1534" totalsRowDxfId="1535"/>
    <tableColumn id="10" xr3:uid="{00000000-0010-0000-4400-00000A000000}" name="Column1" dataDxfId="1534" totalsRowDxfId="1535"/>
    <tableColumn id="12" xr3:uid="{00000000-0010-0000-4400-00000C000000}" name="Column12" dataDxfId="1534" totalsRowDxfId="1535"/>
    <tableColumn id="4" xr3:uid="{00000000-0010-0000-4400-000004000000}" name="الوحده" totalsRowLabel="total" dataDxfId="1534" totalsRowDxfId="1535"/>
    <tableColumn id="5" xr3:uid="{00000000-0010-0000-4400-000005000000}" name="الوزن" dataDxfId="1534" totalsRowDxfId="1535"/>
    <tableColumn id="6" xr3:uid="{00000000-0010-0000-4400-000006000000}" name="سعر الكيلو" dataDxfId="1534" totalsRowDxfId="1535"/>
    <tableColumn id="7" xr3:uid="{00000000-0010-0000-4400-000007000000}" name="سعر الشبك " dataDxfId="1545" totalsRowDxfId="1552">
      <calculatedColumnFormula>Sheet2!B6</calculatedColumnFormula>
    </tableColumn>
    <tableColumn id="8" xr3:uid="{00000000-0010-0000-4400-000008000000}" name="اجمالي" totalsRowFunction="sum" dataDxfId="1543" totalsRowDxfId="1553">
      <calculatedColumnFormula>M28*U28</calculatedColumnFormula>
    </tableColumn>
    <tableColumn id="9" xr3:uid="{00000000-0010-0000-4400-000009000000}" name="%" totalsRowFunction="custom" totalsRowDxfId="155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34"/>
    <tableColumn id="2" xr3:uid="{00000000-0010-0000-0600-000002000000}" name="عدد" dataDxfId="153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34"/>
    <tableColumn id="11" xr3:uid="{00000000-0010-0000-0600-00000B000000}" name="Column2" dataDxfId="1534"/>
    <tableColumn id="10" xr3:uid="{00000000-0010-0000-0600-00000A000000}" name="Column1" dataDxfId="1534"/>
    <tableColumn id="12" xr3:uid="{00000000-0010-0000-0600-00000C000000}" name="Column12" totalsRowFunction="sum" dataDxfId="1536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3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532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34" totalsRowDxfId="1535"/>
    <tableColumn id="2" xr3:uid="{00000000-0010-0000-4500-000002000000}" name="عدد" dataDxfId="1539" totalsRowDxfId="1535"/>
    <tableColumn id="3" xr3:uid="{00000000-0010-0000-4500-000003000000}" name="بيان" totalsRowLabel="Total" dataDxfId="1534" totalsRowDxfId="1535"/>
    <tableColumn id="11" xr3:uid="{00000000-0010-0000-4500-00000B000000}" name="Column2" dataDxfId="1534" totalsRowDxfId="1535"/>
    <tableColumn id="10" xr3:uid="{00000000-0010-0000-4500-00000A000000}" name="Column1" dataDxfId="1534" totalsRowDxfId="1535"/>
    <tableColumn id="12" xr3:uid="{00000000-0010-0000-4500-00000C000000}" name="Column12" dataDxfId="1551" totalsRowDxfId="1555"/>
    <tableColumn id="4" xr3:uid="{00000000-0010-0000-4500-000004000000}" name="الوحده" dataDxfId="1534" totalsRowDxfId="1535"/>
    <tableColumn id="5" xr3:uid="{00000000-0010-0000-4500-000005000000}" name="الوزن" dataDxfId="1534" totalsRowDxfId="1535"/>
    <tableColumn id="6" xr3:uid="{00000000-0010-0000-4500-000006000000}" name="سعر الكيلو" dataDxfId="1534" totalsRowDxfId="1535"/>
    <tableColumn id="7" xr3:uid="{00000000-0010-0000-4500-000007000000}" name="سعر الشبك " dataDxfId="1545" totalsRowDxfId="1552">
      <calculatedColumnFormula>Sheet2!B26</calculatedColumnFormula>
    </tableColumn>
    <tableColumn id="8" xr3:uid="{00000000-0010-0000-4500-000008000000}" name="اجمالي" totalsRowFunction="sum" dataDxfId="1543" totalsRowDxfId="1553">
      <calculatedColumnFormula>M14*U14</calculatedColumnFormula>
    </tableColumn>
    <tableColumn id="9" xr3:uid="{00000000-0010-0000-4500-000009000000}" name="%" totalsRowFunction="custom" totalsRowDxfId="155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34"/>
    <tableColumn id="2" xr3:uid="{00000000-0010-0000-4600-000002000000}" name="عدد" totalsRowFunction="count" dataDxfId="1534">
      <calculatedColumnFormula>M20*4</calculatedColumnFormula>
    </tableColumn>
    <tableColumn id="3" xr3:uid="{00000000-0010-0000-4600-000003000000}" name="بيان" totalsRowLabel="Total" dataDxfId="1534"/>
    <tableColumn id="11" xr3:uid="{00000000-0010-0000-4600-00000B000000}" name="Column2" dataDxfId="1534"/>
    <tableColumn id="10" xr3:uid="{00000000-0010-0000-4600-00000A000000}" name="Column1" dataDxfId="1534"/>
    <tableColumn id="12" xr3:uid="{00000000-0010-0000-4600-00000C000000}" name="Column12" totalsRowFunction="sum" dataDxfId="155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3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39"/>
    <tableColumn id="7" xr3:uid="{00000000-0010-0000-4600-000007000000}" name="سعر الشبك " dataDxfId="1545">
      <calculatedColumnFormula>S22*$S$2/1000</calculatedColumnFormula>
    </tableColumn>
    <tableColumn id="8" xr3:uid="{00000000-0010-0000-4600-000008000000}" name="اجمالي" totalsRowFunction="sum" dataDxfId="1543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57"/>
    <tableColumn id="2" xr3:uid="{00000000-0010-0000-4700-000002000000}" name="المعدل" dataDxfId="1557"/>
    <tableColumn id="3" xr3:uid="{00000000-0010-0000-4700-000003000000}" name="الوحدة" dataDxfId="1557"/>
    <tableColumn id="4" xr3:uid="{00000000-0010-0000-4700-000004000000}" name="Column4" dataDxfId="15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57"/>
    <tableColumn id="2" xr3:uid="{00000000-0010-0000-4800-000002000000}" name="Column2" dataDxfId="1583"/>
    <tableColumn id="3" xr3:uid="{00000000-0010-0000-4800-000003000000}" name="Column3" dataDxfId="1557"/>
    <tableColumn id="4" xr3:uid="{00000000-0010-0000-4800-000004000000}" name="Column4" dataDxfId="1557"/>
    <tableColumn id="5" xr3:uid="{00000000-0010-0000-4800-000005000000}" name="Column5" dataDxfId="1557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34" totalsRowDxfId="1535"/>
    <tableColumn id="2" xr3:uid="{00000000-0010-0000-4900-000002000000}" name="عدد" dataDxfId="1567" totalsRowDxfId="1535">
      <calculatedColumnFormula>IF((تسعير!$AU$14="بالتات"),0,M49-2)</calculatedColumnFormula>
    </tableColumn>
    <tableColumn id="3" xr3:uid="{00000000-0010-0000-4900-000003000000}" name="بيان" totalsRowLabel="Total" dataDxfId="1568" totalsRowDxfId="1535"/>
    <tableColumn id="5" xr3:uid="{00000000-0010-0000-4900-000005000000}" name="اليومية / الاجرة" dataDxfId="1568" totalsRowDxfId="1535"/>
    <tableColumn id="6" xr3:uid="{00000000-0010-0000-4900-000006000000}" name="بدل الوجبة" dataDxfId="1570" totalsRowDxfId="1535"/>
    <tableColumn id="11" xr3:uid="{00000000-0010-0000-4900-00000B000000}" name="موقع العمل" dataDxfId="1550" totalsRowDxfId="1535">
      <calculatedColumnFormula>تسعير!$AT$24</calculatedColumnFormula>
    </tableColumn>
    <tableColumn id="10" xr3:uid="{00000000-0010-0000-4900-00000A000000}" name="شيفت العمل" dataDxfId="1534" totalsRowDxfId="1535"/>
    <tableColumn id="12" xr3:uid="{00000000-0010-0000-4900-00000C000000}" name="Column12" totalsRowFunction="sum" dataDxfId="1551" totalsRowDxfId="1555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580" totalsRowDxfId="1535"/>
    <tableColumn id="7" xr3:uid="{00000000-0010-0000-4900-000007000000}" name="اجمالي التكلفة للعامل" dataDxfId="1581" totalsRowDxfId="1552">
      <calculatedColumnFormula>Table16126776[[#This Row],[Column12]]</calculatedColumnFormula>
    </tableColumn>
    <tableColumn id="8" xr3:uid="{00000000-0010-0000-4900-000008000000}" name="اجمالي" totalsRowFunction="sum" dataDxfId="1543" totalsRowDxfId="1553">
      <calculatedColumnFormula>M52*U52</calculatedColumnFormula>
    </tableColumn>
    <tableColumn id="9" xr3:uid="{00000000-0010-0000-4900-000009000000}" name="%" totalsRowFunction="custom" totalsRowDxfId="155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50" totalsRowDxfId="1535"/>
    <tableColumn id="2" xr3:uid="{00000000-0010-0000-4A00-000002000000}" name="عدد" dataDxfId="1567" totalsRowDxfId="1535">
      <calculatedColumnFormula>IF((Q63="الاسكندرية"),0.25,0.1)</calculatedColumnFormula>
    </tableColumn>
    <tableColumn id="3" xr3:uid="{00000000-0010-0000-4A00-000003000000}" name="بيان" totalsRowLabel="Total" dataDxfId="1550" totalsRowDxfId="1535"/>
    <tableColumn id="11" xr3:uid="{00000000-0010-0000-4A00-00000B000000}" name="Column2" dataDxfId="1550" totalsRowDxfId="1535"/>
    <tableColumn id="10" xr3:uid="{00000000-0010-0000-4A00-00000A000000}" name="Column1" dataDxfId="1550" totalsRowDxfId="1535"/>
    <tableColumn id="12" xr3:uid="{00000000-0010-0000-4A00-00000C000000}" name="Column12" totalsRowFunction="sum" dataDxfId="1584" totalsRowDxfId="1555"/>
    <tableColumn id="4" xr3:uid="{00000000-0010-0000-4A00-000004000000}" name="الوحده" dataDxfId="1560" totalsRowDxfId="1535"/>
    <tableColumn id="5" xr3:uid="{00000000-0010-0000-4A00-000005000000}" name="الوزن" dataDxfId="1550" totalsRowDxfId="1535"/>
    <tableColumn id="6" xr3:uid="{00000000-0010-0000-4A00-000006000000}" name="سعر الكيلو" dataDxfId="1550" totalsRowDxfId="1535"/>
    <tableColumn id="7" xr3:uid="{00000000-0010-0000-4A00-000007000000}" name="سعر الشبك " dataDxfId="1585" totalsRowDxfId="1552">
      <calculatedColumnFormula>Table80102114[[#Totals],[price]]</calculatedColumnFormula>
    </tableColumn>
    <tableColumn id="8" xr3:uid="{00000000-0010-0000-4A00-000008000000}" name="اجمالي" totalsRowFunction="sum" dataDxfId="1543" totalsRowDxfId="1553">
      <calculatedColumnFormula>M47*Table16136877[[#This Row],[سعر الشبك ]]</calculatedColumnFormula>
    </tableColumn>
    <tableColumn id="9" xr3:uid="{00000000-0010-0000-4A00-000009000000}" name="%" totalsRowFunction="custom" totalsRowDxfId="155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57"/>
    <tableColumn id="2" xr3:uid="{00000000-0010-0000-4B00-000002000000}" name="خارجي" dataDxfId="1557"/>
    <tableColumn id="3" xr3:uid="{00000000-0010-0000-4B00-000003000000}" name="داخلي" dataDxfId="1557"/>
    <tableColumn id="4" xr3:uid="{00000000-0010-0000-4B00-000004000000}" name="بدل الوجبة" dataDxfId="1557"/>
    <tableColumn id="5" xr3:uid="{00000000-0010-0000-4B00-000005000000}" name="دبابة" dataDxfId="1557"/>
    <tableColumn id="6" xr3:uid="{00000000-0010-0000-4B00-000006000000}" name="جامبو" dataDxfId="1557"/>
    <tableColumn id="7" xr3:uid="{00000000-0010-0000-4B00-000007000000}" name="الاقامة" dataDxfId="1557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50"/>
    <tableColumn id="4" xr3:uid="{00000000-0010-0000-4C00-000004000000}" name="Column22" dataDxfId="1550"/>
    <tableColumn id="5" xr3:uid="{00000000-0010-0000-4C00-000005000000}" name="Column23" dataDxfId="1550"/>
    <tableColumn id="3" xr3:uid="{00000000-0010-0000-4C00-000003000000}" name="Column3" dataDxfId="1582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56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34" totalsRowDxfId="1535"/>
    <tableColumn id="2" xr3:uid="{00000000-0010-0000-4D00-000002000000}" name="عدد" dataDxfId="1534" totalsRowDxfId="1535"/>
    <tableColumn id="3" xr3:uid="{00000000-0010-0000-4D00-000003000000}" name="بيان" totalsRowLabel="Total" dataDxfId="1534" totalsRowDxfId="1535"/>
    <tableColumn id="11" xr3:uid="{00000000-0010-0000-4D00-00000B000000}" name="Column2" dataDxfId="1534" totalsRowDxfId="1535"/>
    <tableColumn id="10" xr3:uid="{00000000-0010-0000-4D00-00000A000000}" name="Column1" dataDxfId="1534" totalsRowDxfId="1535"/>
    <tableColumn id="12" xr3:uid="{00000000-0010-0000-4D00-00000C000000}" name="المسطح" totalsRowFunction="sum" dataDxfId="1551" totalsRowDxfId="1555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34" totalsRowDxfId="1535"/>
    <tableColumn id="5" xr3:uid="{00000000-0010-0000-4D00-000005000000}" name="الوزن" totalsRowFunction="custom" totalsRowDxfId="1535">
      <totalsRowFormula>(S6*M6)+(S7*M7)+(M8*S8)+(S9*M9)</totalsRowFormula>
    </tableColumn>
    <tableColumn id="6" xr3:uid="{00000000-0010-0000-4D00-000006000000}" name="اجمالي المسطح" totalsRowFunction="sum" dataDxfId="1539" totalsRowDxfId="1535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552">
      <calculatedColumnFormula>S6*$S$2/1000</calculatedColumnFormula>
    </tableColumn>
    <tableColumn id="8" xr3:uid="{00000000-0010-0000-4D00-000008000000}" name="اجمالي" totalsRowFunction="sum" dataDxfId="1543" totalsRowDxfId="1553">
      <calculatedColumnFormula>M6*U6</calculatedColumnFormula>
    </tableColumn>
    <tableColumn id="9" xr3:uid="{00000000-0010-0000-4D00-000009000000}" name="%" totalsRowFunction="custom" totalsRowDxfId="155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34" totalsRowDxfId="1535"/>
    <tableColumn id="2" xr3:uid="{00000000-0010-0000-4E00-000002000000}" name="عدد" dataDxfId="1539" totalsRowDxfId="15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34" totalsRowDxfId="1535"/>
    <tableColumn id="11" xr3:uid="{00000000-0010-0000-4E00-00000B000000}" name="Column2" dataDxfId="1534" totalsRowDxfId="1535"/>
    <tableColumn id="10" xr3:uid="{00000000-0010-0000-4E00-00000A000000}" name="Column1" dataDxfId="1534" totalsRowDxfId="1535"/>
    <tableColumn id="12" xr3:uid="{00000000-0010-0000-4E00-00000C000000}" name="Column12" dataDxfId="1534" totalsRowDxfId="1535"/>
    <tableColumn id="4" xr3:uid="{00000000-0010-0000-4E00-000004000000}" name="الوحده" totalsRowLabel="total" dataDxfId="1534" totalsRowDxfId="1535"/>
    <tableColumn id="5" xr3:uid="{00000000-0010-0000-4E00-000005000000}" name="الوزن" dataDxfId="1534" totalsRowDxfId="1535"/>
    <tableColumn id="6" xr3:uid="{00000000-0010-0000-4E00-000006000000}" name="سعر الكيلو" dataDxfId="1534" totalsRowDxfId="1535"/>
    <tableColumn id="7" xr3:uid="{00000000-0010-0000-4E00-000007000000}" name="سعر الشبك " dataDxfId="1545" totalsRowDxfId="1552">
      <calculatedColumnFormula>Sheet2!B6</calculatedColumnFormula>
    </tableColumn>
    <tableColumn id="8" xr3:uid="{00000000-0010-0000-4E00-000008000000}" name="اجمالي" totalsRowFunction="sum" dataDxfId="1543" totalsRowDxfId="1553">
      <calculatedColumnFormula>M99*U100</calculatedColumnFormula>
    </tableColumn>
    <tableColumn id="9" xr3:uid="{00000000-0010-0000-4E00-000009000000}" name="%" totalsRowFunction="custom" totalsRowDxfId="155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34" totalsRowDxfId="1535"/>
    <tableColumn id="2" xr3:uid="{00000000-0010-0000-0700-000002000000}" name="عدد" dataDxfId="1345" totalsRowDxfId="1535"/>
    <tableColumn id="3" xr3:uid="{00000000-0010-0000-0700-000003000000}" name="بيان" totalsRowLabel="Total" dataDxfId="1534" totalsRowDxfId="1535"/>
    <tableColumn id="11" xr3:uid="{00000000-0010-0000-0700-00000B000000}" name="Column2" dataDxfId="1534" totalsRowDxfId="1535"/>
    <tableColumn id="10" xr3:uid="{00000000-0010-0000-0700-00000A000000}" name="Column1" dataDxfId="1534" totalsRowDxfId="1535"/>
    <tableColumn id="12" xr3:uid="{00000000-0010-0000-0700-00000C000000}" name="Column12" dataDxfId="1353" totalsRowDxfId="1354"/>
    <tableColumn id="4" xr3:uid="{00000000-0010-0000-0700-000004000000}" name="الوحده" dataDxfId="1534" totalsRowDxfId="1535"/>
    <tableColumn id="5" xr3:uid="{00000000-0010-0000-0700-000005000000}" name="الوزن" dataDxfId="1534" totalsRowDxfId="1535"/>
    <tableColumn id="6" xr3:uid="{00000000-0010-0000-0700-000006000000}" name="سعر الكيلو" dataDxfId="1534" totalsRowDxfId="1535"/>
    <tableColumn id="7" xr3:uid="{00000000-0010-0000-0700-000007000000}" name="سعر الشبك " dataDxfId="1537" totalsRowDxfId="1349">
      <calculatedColumnFormula>Sheet2!B22</calculatedColumnFormula>
    </tableColumn>
    <tableColumn id="8" xr3:uid="{00000000-0010-0000-0700-000008000000}" name="اجمالي" totalsRowFunction="sum" dataDxfId="1538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34" totalsRowDxfId="1535"/>
    <tableColumn id="2" xr3:uid="{00000000-0010-0000-4F00-000002000000}" name="عدد" dataDxfId="1539" totalsRowDxfId="1535">
      <calculatedColumnFormula>IF((I70="بالتات"),0,4)</calculatedColumnFormula>
    </tableColumn>
    <tableColumn id="3" xr3:uid="{00000000-0010-0000-4F00-000003000000}" name="بيان" totalsRowLabel="Total" dataDxfId="1534" totalsRowDxfId="1535"/>
    <tableColumn id="11" xr3:uid="{00000000-0010-0000-4F00-00000B000000}" name="Column2" dataDxfId="1534" totalsRowDxfId="1535"/>
    <tableColumn id="10" xr3:uid="{00000000-0010-0000-4F00-00000A000000}" name="Column1" dataDxfId="1534" totalsRowDxfId="1535"/>
    <tableColumn id="12" xr3:uid="{00000000-0010-0000-4F00-00000C000000}" name="Column12" dataDxfId="1551" totalsRowDxfId="1555"/>
    <tableColumn id="4" xr3:uid="{00000000-0010-0000-4F00-000004000000}" name="الوحده" dataDxfId="1534" totalsRowDxfId="1535"/>
    <tableColumn id="5" xr3:uid="{00000000-0010-0000-4F00-000005000000}" name="الوزن" dataDxfId="1534" totalsRowDxfId="1535"/>
    <tableColumn id="6" xr3:uid="{00000000-0010-0000-4F00-000006000000}" name="سعر الكيلو" dataDxfId="1534" totalsRowDxfId="1535"/>
    <tableColumn id="7" xr3:uid="{00000000-0010-0000-4F00-000007000000}" name="سعر الشبك " dataDxfId="1545" totalsRowDxfId="1552">
      <calculatedColumnFormula>Sheet2!B26</calculatedColumnFormula>
    </tableColumn>
    <tableColumn id="8" xr3:uid="{00000000-0010-0000-4F00-000008000000}" name="اجمالي" totalsRowFunction="sum" dataDxfId="1543" totalsRowDxfId="1553">
      <calculatedColumnFormula>M85*U85</calculatedColumnFormula>
    </tableColumn>
    <tableColumn id="9" xr3:uid="{00000000-0010-0000-4F00-000009000000}" name="%" totalsRowFunction="custom" totalsRowDxfId="155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34"/>
    <tableColumn id="2" xr3:uid="{00000000-0010-0000-5000-000002000000}" name="عدد" totalsRowFunction="sum" dataDxfId="1534">
      <calculatedColumnFormula>M91*4</calculatedColumnFormula>
    </tableColumn>
    <tableColumn id="3" xr3:uid="{00000000-0010-0000-5000-000003000000}" name="بيان" totalsRowLabel="Total" dataDxfId="1534"/>
    <tableColumn id="11" xr3:uid="{00000000-0010-0000-5000-00000B000000}" name="Column2" dataDxfId="1534"/>
    <tableColumn id="10" xr3:uid="{00000000-0010-0000-5000-00000A000000}" name="Column1" dataDxfId="1534"/>
    <tableColumn id="12" xr3:uid="{00000000-0010-0000-5000-00000C000000}" name="Column12" totalsRowFunction="sum" dataDxfId="155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3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39"/>
    <tableColumn id="7" xr3:uid="{00000000-0010-0000-5000-000007000000}" name="سعر الشبك " dataDxfId="1545">
      <calculatedColumnFormula>S93*$S$2/1000</calculatedColumnFormula>
    </tableColumn>
    <tableColumn id="8" xr3:uid="{00000000-0010-0000-5000-000008000000}" name="اجمالي" totalsRowFunction="sum" dataDxfId="1543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57"/>
    <tableColumn id="2" xr3:uid="{00000000-0010-0000-5100-000002000000}" name="المعدل" dataDxfId="1557"/>
    <tableColumn id="3" xr3:uid="{00000000-0010-0000-5100-000003000000}" name="الوحدة" dataDxfId="1557"/>
    <tableColumn id="4" xr3:uid="{00000000-0010-0000-5100-000004000000}" name="Column4" dataDxfId="158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57"/>
    <tableColumn id="2" xr3:uid="{00000000-0010-0000-5200-000002000000}" name="Column2" dataDxfId="1583"/>
    <tableColumn id="3" xr3:uid="{00000000-0010-0000-5200-000003000000}" name="Column3" dataDxfId="1557"/>
    <tableColumn id="4" xr3:uid="{00000000-0010-0000-5200-000004000000}" name="Column4" dataDxfId="1557"/>
    <tableColumn id="5" xr3:uid="{00000000-0010-0000-5200-000005000000}" name="Column5" dataDxfId="1557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34" totalsRowDxfId="1535"/>
    <tableColumn id="2" xr3:uid="{00000000-0010-0000-5300-000002000000}" name="عدد" dataDxfId="1567" totalsRowDxfId="1535">
      <calculatedColumnFormula>IF((تسعير!$AU$14="بالتات"),0,M120-2)</calculatedColumnFormula>
    </tableColumn>
    <tableColumn id="3" xr3:uid="{00000000-0010-0000-5300-000003000000}" name="بيان" totalsRowLabel="Total" dataDxfId="1568" totalsRowDxfId="1535"/>
    <tableColumn id="5" xr3:uid="{00000000-0010-0000-5300-000005000000}" name="اليومية / الاجرة" dataDxfId="1568" totalsRowDxfId="1535"/>
    <tableColumn id="6" xr3:uid="{00000000-0010-0000-5300-000006000000}" name="بدل الوجبة" dataDxfId="1570" totalsRowDxfId="1535"/>
    <tableColumn id="11" xr3:uid="{00000000-0010-0000-5300-00000B000000}" name="موقع العمل" dataDxfId="1550" totalsRowDxfId="1535">
      <calculatedColumnFormula>تسعير!$AT$44</calculatedColumnFormula>
    </tableColumn>
    <tableColumn id="10" xr3:uid="{00000000-0010-0000-5300-00000A000000}" name="شيفت العمل" dataDxfId="1534" totalsRowDxfId="1535"/>
    <tableColumn id="12" xr3:uid="{00000000-0010-0000-5300-00000C000000}" name="Column12" totalsRowFunction="sum" dataDxfId="1551" totalsRowDxfId="1555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580" totalsRowDxfId="1535"/>
    <tableColumn id="7" xr3:uid="{00000000-0010-0000-5300-000007000000}" name="اجمالي التكلفة للعامل" dataDxfId="1581" totalsRowDxfId="1552">
      <calculatedColumnFormula>Table1612677697[[#This Row],[Column12]]</calculatedColumnFormula>
    </tableColumn>
    <tableColumn id="8" xr3:uid="{00000000-0010-0000-5300-000008000000}" name="اجمالي" totalsRowFunction="sum" dataDxfId="1543" totalsRowDxfId="1553">
      <calculatedColumnFormula>M123*U123</calculatedColumnFormula>
    </tableColumn>
    <tableColumn id="9" xr3:uid="{00000000-0010-0000-5300-000009000000}" name="%" totalsRowFunction="custom" totalsRowDxfId="155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50" totalsRowDxfId="1535"/>
    <tableColumn id="2" xr3:uid="{00000000-0010-0000-5400-000002000000}" name="عدد" dataDxfId="1567" totalsRowDxfId="1535">
      <calculatedColumnFormula>IF((Q134="الاسكندرية"),0.25,0.1)</calculatedColumnFormula>
    </tableColumn>
    <tableColumn id="3" xr3:uid="{00000000-0010-0000-5400-000003000000}" name="بيان" totalsRowLabel="Total" dataDxfId="1550" totalsRowDxfId="1535"/>
    <tableColumn id="11" xr3:uid="{00000000-0010-0000-5400-00000B000000}" name="Column2" dataDxfId="1550" totalsRowDxfId="1535"/>
    <tableColumn id="10" xr3:uid="{00000000-0010-0000-5400-00000A000000}" name="Column1" dataDxfId="1550" totalsRowDxfId="1535"/>
    <tableColumn id="12" xr3:uid="{00000000-0010-0000-5400-00000C000000}" name="Column12" totalsRowFunction="sum" dataDxfId="1371" totalsRowDxfId="1555"/>
    <tableColumn id="4" xr3:uid="{00000000-0010-0000-5400-000004000000}" name="الوحده" dataDxfId="1560" totalsRowDxfId="1535"/>
    <tableColumn id="5" xr3:uid="{00000000-0010-0000-5400-000005000000}" name="الوزن" dataDxfId="1550" totalsRowDxfId="1535"/>
    <tableColumn id="6" xr3:uid="{00000000-0010-0000-5400-000006000000}" name="سعر الكيلو" dataDxfId="1550" totalsRowDxfId="1535"/>
    <tableColumn id="7" xr3:uid="{00000000-0010-0000-5400-000007000000}" name="سعر الشبك " dataDxfId="1585" totalsRowDxfId="1552">
      <calculatedColumnFormula>F96</calculatedColumnFormula>
    </tableColumn>
    <tableColumn id="8" xr3:uid="{00000000-0010-0000-5400-000008000000}" name="اجمالي" totalsRowFunction="sum" dataDxfId="1543" totalsRowDxfId="1553">
      <calculatedColumnFormula>M118*Table1613687798[[#This Row],[سعر الشبك ]]</calculatedColumnFormula>
    </tableColumn>
    <tableColumn id="9" xr3:uid="{00000000-0010-0000-5400-000009000000}" name="%" totalsRowFunction="custom" totalsRowDxfId="155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57"/>
    <tableColumn id="2" xr3:uid="{00000000-0010-0000-5500-000002000000}" name="خارجي" dataDxfId="1557"/>
    <tableColumn id="3" xr3:uid="{00000000-0010-0000-5500-000003000000}" name="داخلي" dataDxfId="1557"/>
    <tableColumn id="4" xr3:uid="{00000000-0010-0000-5500-000004000000}" name="بدل الوجبة" dataDxfId="1557"/>
    <tableColumn id="5" xr3:uid="{00000000-0010-0000-5500-000005000000}" name="دبابة" dataDxfId="1557"/>
    <tableColumn id="6" xr3:uid="{00000000-0010-0000-5500-000006000000}" name="جامبو" dataDxfId="1557"/>
    <tableColumn id="7" xr3:uid="{00000000-0010-0000-5500-000007000000}" name="الاقامة" dataDxfId="1557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50"/>
    <tableColumn id="4" xr3:uid="{00000000-0010-0000-5600-000004000000}" name="Column22" dataDxfId="1550"/>
    <tableColumn id="5" xr3:uid="{00000000-0010-0000-5600-000005000000}" name="Column23" dataDxfId="1550"/>
    <tableColumn id="3" xr3:uid="{00000000-0010-0000-5600-000003000000}" name="Column3" dataDxfId="1582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56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34" totalsRowDxfId="1535"/>
    <tableColumn id="2" xr3:uid="{00000000-0010-0000-5700-000002000000}" name="عدد" dataDxfId="1534" totalsRowDxfId="153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34" totalsRowDxfId="1535"/>
    <tableColumn id="11" xr3:uid="{00000000-0010-0000-5700-00000B000000}" name="Column2" dataDxfId="1534" totalsRowDxfId="1535"/>
    <tableColumn id="10" xr3:uid="{00000000-0010-0000-5700-00000A000000}" name="Column1" dataDxfId="1534" totalsRowDxfId="1535"/>
    <tableColumn id="12" xr3:uid="{00000000-0010-0000-5700-00000C000000}" name="المسطح" totalsRowFunction="sum" dataDxfId="1551" totalsRowDxfId="1555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34" totalsRowDxfId="1535"/>
    <tableColumn id="5" xr3:uid="{00000000-0010-0000-5700-000005000000}" name="الوزن" totalsRowFunction="custom" totalsRowDxfId="1535">
      <totalsRowFormula>(S77*M77)+(S78*M78)+(M79*S79)+(S80*M80)</totalsRowFormula>
    </tableColumn>
    <tableColumn id="6" xr3:uid="{00000000-0010-0000-5700-000006000000}" name="اجمالي المسطح" totalsRowFunction="sum" dataDxfId="1539" totalsRowDxfId="1535">
      <calculatedColumnFormula>Table15880101[[#This Row],[المسطح]]*Table15880101[[#This Row],[عدد]]</calculatedColumnFormula>
    </tableColumn>
    <tableColumn id="7" xr3:uid="{00000000-0010-0000-5700-000007000000}" name="سعر الشبك " dataDxfId="1586" totalsRowDxfId="1552">
      <calculatedColumnFormula>S77*$S$2/1000</calculatedColumnFormula>
    </tableColumn>
    <tableColumn id="8" xr3:uid="{00000000-0010-0000-5700-000008000000}" name="اجمالي" totalsRowFunction="sum" dataDxfId="1543" totalsRowDxfId="1553">
      <calculatedColumnFormula>M77*U77</calculatedColumnFormula>
    </tableColumn>
    <tableColumn id="9" xr3:uid="{00000000-0010-0000-5700-000009000000}" name="%" totalsRowFunction="custom" totalsRowDxfId="155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34" totalsRowDxfId="1535"/>
    <tableColumn id="2" xr3:uid="{00000000-0010-0000-5800-000002000000}" name="عدد" dataDxfId="1539" totalsRowDxfId="1535"/>
    <tableColumn id="3" xr3:uid="{00000000-0010-0000-5800-000003000000}" name="بيان" totalsRowLabel="Total" dataDxfId="1534" totalsRowDxfId="1535"/>
    <tableColumn id="11" xr3:uid="{00000000-0010-0000-5800-00000B000000}" name="Column2" dataDxfId="1534" totalsRowDxfId="1535"/>
    <tableColumn id="10" xr3:uid="{00000000-0010-0000-5800-00000A000000}" name="Column1" dataDxfId="1534" totalsRowDxfId="1535"/>
    <tableColumn id="12" xr3:uid="{00000000-0010-0000-5800-00000C000000}" name="Column12" dataDxfId="1534" totalsRowDxfId="1535"/>
    <tableColumn id="4" xr3:uid="{00000000-0010-0000-5800-000004000000}" name="الوحده" totalsRowLabel="total" dataDxfId="1534" totalsRowDxfId="1535"/>
    <tableColumn id="5" xr3:uid="{00000000-0010-0000-5800-000005000000}" name="الوزن" dataDxfId="1534" totalsRowDxfId="1535"/>
    <tableColumn id="6" xr3:uid="{00000000-0010-0000-5800-000006000000}" name="سعر الكيلو" dataDxfId="1534" totalsRowDxfId="1535"/>
    <tableColumn id="7" xr3:uid="{00000000-0010-0000-5800-000007000000}" name="سعر الشبك " dataDxfId="1545" totalsRowDxfId="1552">
      <calculatedColumnFormula>Sheet2!AW6</calculatedColumnFormula>
    </tableColumn>
    <tableColumn id="8" xr3:uid="{00000000-0010-0000-5800-000008000000}" name="اجمالي" totalsRowFunction="sum" dataDxfId="1543" totalsRowDxfId="1553">
      <calculatedColumnFormula>BH28*BP28</calculatedColumnFormula>
    </tableColumn>
    <tableColumn id="9" xr3:uid="{00000000-0010-0000-5800-000009000000}" name="%" totalsRowFunction="custom" totalsRowDxfId="155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34" totalsRowDxfId="1535"/>
    <tableColumn id="2" xr3:uid="{00000000-0010-0000-0800-000002000000}" name="عدد" totalsRowFunction="count" dataDxfId="1534" totalsRowDxfId="1535">
      <calculatedColumnFormula>B29*4</calculatedColumnFormula>
    </tableColumn>
    <tableColumn id="3" xr3:uid="{00000000-0010-0000-0800-000003000000}" name="بيان" totalsRowLabel="Total" dataDxfId="1534" totalsRowDxfId="1535"/>
    <tableColumn id="11" xr3:uid="{00000000-0010-0000-0800-00000B000000}" name="Column2" dataDxfId="1534" totalsRowDxfId="1535"/>
    <tableColumn id="10" xr3:uid="{00000000-0010-0000-0800-00000A000000}" name="Column1" dataDxfId="1534" totalsRowDxfId="1535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534" totalsRowDxfId="1535"/>
    <tableColumn id="5" xr3:uid="{00000000-0010-0000-0800-000005000000}" name="الوزن" totalsRowFunction="custom" totalsRowDxfId="1535">
      <totalsRowFormula>H30*B30+H31*B31</totalsRowFormula>
    </tableColumn>
    <tableColumn id="6" xr3:uid="{00000000-0010-0000-0800-000006000000}" name="Column3" dataDxfId="1539" totalsRowDxfId="1535"/>
    <tableColumn id="7" xr3:uid="{00000000-0010-0000-0800-000007000000}" name="سعر الشبك " dataDxfId="1348" totalsRowDxfId="1540">
      <calculatedColumnFormula>H30*$H$2/1000</calculatedColumnFormula>
    </tableColumn>
    <tableColumn id="8" xr3:uid="{00000000-0010-0000-0800-000008000000}" name="اجمالي" totalsRowFunction="sum" dataDxfId="1350" totalsRowDxfId="1541">
      <calculatedColumnFormula>B30*J30</calculatedColumnFormula>
    </tableColumn>
    <tableColumn id="9" xr3:uid="{00000000-0010-0000-0800-000009000000}" name="%" totalsRowFunction="custom" totalsRowDxfId="154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34" totalsRowDxfId="1535"/>
    <tableColumn id="2" xr3:uid="{00000000-0010-0000-5900-000002000000}" name="عدد" dataDxfId="1539" totalsRowDxfId="1535"/>
    <tableColumn id="3" xr3:uid="{00000000-0010-0000-5900-000003000000}" name="بيان" totalsRowLabel="Total" dataDxfId="1534" totalsRowDxfId="1535"/>
    <tableColumn id="11" xr3:uid="{00000000-0010-0000-5900-00000B000000}" name="Column2" dataDxfId="1534" totalsRowDxfId="1535"/>
    <tableColumn id="10" xr3:uid="{00000000-0010-0000-5900-00000A000000}" name="Column1" dataDxfId="1534" totalsRowDxfId="1535"/>
    <tableColumn id="12" xr3:uid="{00000000-0010-0000-5900-00000C000000}" name="Column12" dataDxfId="1551" totalsRowDxfId="1555"/>
    <tableColumn id="4" xr3:uid="{00000000-0010-0000-5900-000004000000}" name="الوحده" dataDxfId="1534" totalsRowDxfId="1535"/>
    <tableColumn id="5" xr3:uid="{00000000-0010-0000-5900-000005000000}" name="الوزن" dataDxfId="1534" totalsRowDxfId="1535"/>
    <tableColumn id="6" xr3:uid="{00000000-0010-0000-5900-000006000000}" name="سعر الكيلو" dataDxfId="1534" totalsRowDxfId="1535"/>
    <tableColumn id="7" xr3:uid="{00000000-0010-0000-5900-000007000000}" name="سعر الشبك " dataDxfId="1545" totalsRowDxfId="1552">
      <calculatedColumnFormula>Sheet2!AW26</calculatedColumnFormula>
    </tableColumn>
    <tableColumn id="8" xr3:uid="{00000000-0010-0000-5900-000008000000}" name="اجمالي" totalsRowFunction="sum" dataDxfId="1543" totalsRowDxfId="1553">
      <calculatedColumnFormula>BH14*BP14</calculatedColumnFormula>
    </tableColumn>
    <tableColumn id="9" xr3:uid="{00000000-0010-0000-5900-000009000000}" name="%" totalsRowFunction="custom" totalsRowDxfId="155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34"/>
    <tableColumn id="2" xr3:uid="{00000000-0010-0000-5A00-000002000000}" name="عدد" totalsRowFunction="count" dataDxfId="1534">
      <calculatedColumnFormula>BH20*4</calculatedColumnFormula>
    </tableColumn>
    <tableColumn id="3" xr3:uid="{00000000-0010-0000-5A00-000003000000}" name="بيان" totalsRowLabel="Total" dataDxfId="1534"/>
    <tableColumn id="11" xr3:uid="{00000000-0010-0000-5A00-00000B000000}" name="Column2" dataDxfId="1534"/>
    <tableColumn id="10" xr3:uid="{00000000-0010-0000-5A00-00000A000000}" name="Column1" dataDxfId="1534"/>
    <tableColumn id="12" xr3:uid="{00000000-0010-0000-5A00-00000C000000}" name="Column12" totalsRowFunction="sum" dataDxfId="155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3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39"/>
    <tableColumn id="7" xr3:uid="{00000000-0010-0000-5A00-000007000000}" name="سعر الشبك " dataDxfId="1545">
      <calculatedColumnFormula>BN22*$S$2/1000</calculatedColumnFormula>
    </tableColumn>
    <tableColumn id="8" xr3:uid="{00000000-0010-0000-5A00-000008000000}" name="اجمالي" totalsRowFunction="sum" dataDxfId="1543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57"/>
    <tableColumn id="2" xr3:uid="{00000000-0010-0000-5B00-000002000000}" name="المعدل" dataDxfId="1557"/>
    <tableColumn id="3" xr3:uid="{00000000-0010-0000-5B00-000003000000}" name="الوحدة" dataDxfId="1557"/>
    <tableColumn id="4" xr3:uid="{00000000-0010-0000-5B00-000004000000}" name="Column4" dataDxfId="158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57"/>
    <tableColumn id="2" xr3:uid="{00000000-0010-0000-5C00-000002000000}" name="Column2" dataDxfId="1583"/>
    <tableColumn id="3" xr3:uid="{00000000-0010-0000-5C00-000003000000}" name="Column3" dataDxfId="1557"/>
    <tableColumn id="4" xr3:uid="{00000000-0010-0000-5C00-000004000000}" name="Column4" dataDxfId="1557"/>
    <tableColumn id="5" xr3:uid="{00000000-0010-0000-5C00-000005000000}" name="Column5" dataDxfId="1557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34"/>
    <tableColumn id="2" xr3:uid="{00000000-0010-0000-5D00-000002000000}" name="عدد" dataDxfId="1567">
      <calculatedColumnFormula>IF((تسعير!$AU$14="بالتات"),0,BH48-2)</calculatedColumnFormula>
    </tableColumn>
    <tableColumn id="3" xr3:uid="{00000000-0010-0000-5D00-000003000000}" name="بيان" totalsRowLabel="Total" dataDxfId="1568"/>
    <tableColumn id="5" xr3:uid="{00000000-0010-0000-5D00-000005000000}" name="اليومية / الاجرة" dataDxfId="1568"/>
    <tableColumn id="6" xr3:uid="{00000000-0010-0000-5D00-000006000000}" name="بدل الوجبة" dataDxfId="1570"/>
    <tableColumn id="11" xr3:uid="{00000000-0010-0000-5D00-00000B000000}" name="موقع العمل" dataDxfId="1550">
      <calculatedColumnFormula>تسعير!$AT$44</calculatedColumnFormula>
    </tableColumn>
    <tableColumn id="10" xr3:uid="{00000000-0010-0000-5D00-00000A000000}" name="شيفت العمل" dataDxfId="1534"/>
    <tableColumn id="12" xr3:uid="{00000000-0010-0000-5D00-00000C000000}" name="Column12" totalsRowFunction="sum" dataDxfId="1551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580"/>
    <tableColumn id="7" xr3:uid="{00000000-0010-0000-5D00-000007000000}" name="اجمالي التكلفة للعامل" dataDxfId="1581">
      <calculatedColumnFormula>Table1612677686[[#This Row],[Column12]]</calculatedColumnFormula>
    </tableColumn>
    <tableColumn id="8" xr3:uid="{00000000-0010-0000-5D00-000008000000}" name="اجمالي" totalsRowFunction="sum" dataDxfId="1543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50"/>
    <tableColumn id="2" xr3:uid="{00000000-0010-0000-5E00-000002000000}" name="عدد" dataDxfId="1567">
      <calculatedColumnFormula>IF((BL62="الاسكندرية"),0.25,0.1)</calculatedColumnFormula>
    </tableColumn>
    <tableColumn id="3" xr3:uid="{00000000-0010-0000-5E00-000003000000}" name="بيان" totalsRowLabel="Total" dataDxfId="1550"/>
    <tableColumn id="11" xr3:uid="{00000000-0010-0000-5E00-00000B000000}" name="Column2" dataDxfId="1550"/>
    <tableColumn id="10" xr3:uid="{00000000-0010-0000-5E00-00000A000000}" name="Column1" dataDxfId="1550"/>
    <tableColumn id="12" xr3:uid="{00000000-0010-0000-5E00-00000C000000}" name="Column12" totalsRowFunction="sum" dataDxfId="1587"/>
    <tableColumn id="4" xr3:uid="{00000000-0010-0000-5E00-000004000000}" name="الوحده" dataDxfId="1560"/>
    <tableColumn id="5" xr3:uid="{00000000-0010-0000-5E00-000005000000}" name="الوزن" dataDxfId="1550"/>
    <tableColumn id="6" xr3:uid="{00000000-0010-0000-5E00-000006000000}" name="سعر الكيلو" dataDxfId="1550"/>
    <tableColumn id="7" xr3:uid="{00000000-0010-0000-5E00-000007000000}" name="سعر الشبك " dataDxfId="1585">
      <calculatedColumnFormula>BQ45</calculatedColumnFormula>
    </tableColumn>
    <tableColumn id="8" xr3:uid="{00000000-0010-0000-5E00-000008000000}" name="اجمالي" totalsRowFunction="sum" dataDxfId="1543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57"/>
    <tableColumn id="2" xr3:uid="{00000000-0010-0000-5F00-000002000000}" name="خارجي" dataDxfId="1557"/>
    <tableColumn id="3" xr3:uid="{00000000-0010-0000-5F00-000003000000}" name="داخلي" dataDxfId="1557"/>
    <tableColumn id="4" xr3:uid="{00000000-0010-0000-5F00-000004000000}" name="بدل الوجبة" dataDxfId="1557"/>
    <tableColumn id="5" xr3:uid="{00000000-0010-0000-5F00-000005000000}" name="دبابة" dataDxfId="1557"/>
    <tableColumn id="6" xr3:uid="{00000000-0010-0000-5F00-000006000000}" name="جامبو" dataDxfId="1557"/>
    <tableColumn id="7" xr3:uid="{00000000-0010-0000-5F00-000007000000}" name="الاقامة" dataDxfId="1557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50"/>
    <tableColumn id="4" xr3:uid="{00000000-0010-0000-6000-000004000000}" name="Column22" dataDxfId="1550"/>
    <tableColumn id="5" xr3:uid="{00000000-0010-0000-6000-000005000000}" name="Column23" dataDxfId="1550"/>
    <tableColumn id="3" xr3:uid="{00000000-0010-0000-6000-000003000000}" name="Column3" dataDxfId="1582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56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34" totalsRowDxfId="1535"/>
    <tableColumn id="2" xr3:uid="{00000000-0010-0000-6100-000002000000}" name="عدد" dataDxfId="1534" totalsRowDxfId="1535"/>
    <tableColumn id="3" xr3:uid="{00000000-0010-0000-6100-000003000000}" name="بيان" totalsRowLabel="Total" dataDxfId="1534" totalsRowDxfId="1535"/>
    <tableColumn id="11" xr3:uid="{00000000-0010-0000-6100-00000B000000}" name="Column2" dataDxfId="1534" totalsRowDxfId="1535"/>
    <tableColumn id="10" xr3:uid="{00000000-0010-0000-6100-00000A000000}" name="Column1" dataDxfId="1534" totalsRowDxfId="1535"/>
    <tableColumn id="12" xr3:uid="{00000000-0010-0000-6100-00000C000000}" name="المسطح" totalsRowFunction="sum" dataDxfId="1551" totalsRowDxfId="1555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34" totalsRowDxfId="1535"/>
    <tableColumn id="5" xr3:uid="{00000000-0010-0000-6100-000005000000}" name="الوزن" totalsRowFunction="custom" totalsRowDxfId="1535">
      <totalsRowFormula>(BN6*BH6)+(BN7*BG7)+(BN8*BG8)+(BN9*BG9)</totalsRowFormula>
    </tableColumn>
    <tableColumn id="6" xr3:uid="{00000000-0010-0000-6100-000006000000}" name="اجمالي المسطح" totalsRowFunction="sum" dataDxfId="1539" totalsRowDxfId="1535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552">
      <calculatedColumnFormula>BN6*$S$2/1000</calculatedColumnFormula>
    </tableColumn>
    <tableColumn id="8" xr3:uid="{00000000-0010-0000-6100-000008000000}" name="اجمالي" totalsRowFunction="sum" dataDxfId="1543" totalsRowDxfId="1553">
      <calculatedColumnFormula>BH6*BP6</calculatedColumnFormula>
    </tableColumn>
    <tableColumn id="9" xr3:uid="{00000000-0010-0000-6100-000009000000}" name="%" totalsRowFunction="custom" totalsRowDxfId="155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588" totalsRowDxfId="1391"/>
    <tableColumn id="6" xr3:uid="{00000000-0010-0000-6200-000006000000}" name="price" totalsRowFunction="sum" dataDxfId="1390" totalsRowDxfId="1589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J1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55675.833333333328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300</v>
      </c>
      <c r="D7" s="182" t="s">
        <v>162</v>
      </c>
      <c r="E7" s="183">
        <f>تسعير!X31</f>
        <v>2000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 t="e">
        <f>'Format Φωτισμου (2)'!B9</f>
        <v>#VALUE!</v>
      </c>
    </row>
    <row r="19" ht="18" customHeight="1">
      <c r="A19" s="675" t="s">
        <v>354</v>
      </c>
      <c r="B19" s="676"/>
      <c r="C19" s="14" t="e">
        <f>'Format Φωτισμου (2)'!B12</f>
        <v>#VALUE!</v>
      </c>
    </row>
    <row r="20" ht="18" customHeight="1">
      <c r="A20" s="675" t="s">
        <v>355</v>
      </c>
      <c r="B20" s="676"/>
      <c r="C20" s="14" t="e">
        <f>C19/C18</f>
        <v>#VALUE!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 t="e">
        <f>C21/C18</f>
        <v>#VALUE!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300</v>
      </c>
      <c r="L6" s="698"/>
      <c r="M6" s="94" t="s">
        <v>372</v>
      </c>
      <c r="N6" s="95">
        <f>تسجيل2!E7</f>
        <v>2000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60</v>
      </c>
      <c r="L7" s="705"/>
      <c r="M7" s="705"/>
      <c r="N7" s="98" t="s">
        <v>374</v>
      </c>
      <c r="O7" s="99" t="e">
        <f>AA41/K7</f>
        <v>#VALUE!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1972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70.75536</v>
      </c>
      <c r="U8" s="138">
        <f>T8*S8</f>
        <v>21226.608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 (2)'!F8</f>
        <v>1965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4.9125</v>
      </c>
      <c r="U11" s="103">
        <f>CEILING(T11,0.5)</f>
        <v>5</v>
      </c>
      <c r="V11" s="103">
        <f>U11*S11</f>
        <v>40</v>
      </c>
      <c r="W11" s="140">
        <v>4.45627705627706</v>
      </c>
      <c r="X11" s="141">
        <f>($W$1/1000)*W11*V11</f>
        <v>42780.259740259782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 t="e">
        <f>IF(L11&gt;2,2*L14,IF(L11=2,L14))</f>
        <v>#VALUE!</v>
      </c>
      <c r="H14" s="719"/>
      <c r="I14" s="720">
        <f>I12</f>
        <v>299</v>
      </c>
      <c r="J14" s="720"/>
      <c r="K14" s="106"/>
      <c r="L14" s="109" t="e">
        <f>تسجيل2!H28</f>
        <v>#VALUE!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3975</v>
      </c>
      <c r="J21" s="733"/>
      <c r="K21" s="106"/>
      <c r="L21" s="112">
        <f>IF(Format!E7=1,"-------",IF(Format!E7=5,"-------",تسجيل2!H30))</f>
        <v>2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79.5</v>
      </c>
      <c r="U21" s="142">
        <f t="shared" si="0"/>
        <v>79.5</v>
      </c>
      <c r="V21" s="142">
        <f>U21*S21</f>
        <v>79.5</v>
      </c>
      <c r="W21" s="142">
        <f>Sheet2!B17</f>
        <v>175</v>
      </c>
      <c r="X21" s="144">
        <f>W21*V21</f>
        <v>13912.5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260</v>
      </c>
      <c r="AB24" s="60">
        <f ref="AB24:AB38" t="shared" si="10">Y24*M24</f>
        <v>15000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44</v>
      </c>
      <c r="AB25" s="60">
        <f t="shared" si="10"/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11</v>
      </c>
      <c r="AB26" s="60">
        <f t="shared" si="10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 t="e">
        <f>L14</f>
        <v>#VALUE!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2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880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8</v>
      </c>
      <c r="AB29" s="60">
        <f t="shared" si="10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 t="e">
        <f>L14*L11</f>
        <v>#VALUE!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 t="e">
        <f>(L14+N14)*2</f>
        <v>#VALUE!</v>
      </c>
      <c r="G31" s="71"/>
      <c r="H31" s="72">
        <v>23</v>
      </c>
      <c r="I31" s="738" t="s">
        <v>421</v>
      </c>
      <c r="J31" s="738"/>
      <c r="K31" s="738"/>
      <c r="L31" s="738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 t="e">
        <f>(L14+N14)*2</f>
        <v>#VALUE!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21</v>
      </c>
      <c r="AB33" s="60">
        <f t="shared" si="10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21</v>
      </c>
      <c r="AB34" s="60">
        <f t="shared" si="10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0</v>
      </c>
      <c r="AB35" s="60">
        <f t="shared" si="10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0</v>
      </c>
      <c r="AB36" s="60">
        <f t="shared" si="10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52</v>
      </c>
      <c r="AB37" s="60">
        <f t="shared" si="10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78.6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275.09999999999997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 t="e">
        <f>SUM(AA24:AB38)</f>
        <v>#VALUE!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 t="e">
        <f>AA39+X22+U8</f>
        <v>#VALUE!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1972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2000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2000</v>
      </c>
      <c r="D31" s="34" t="s">
        <v>483</v>
      </c>
      <c r="E31" s="36" t="str">
        <f>H34</f>
        <v>N/A</v>
      </c>
      <c r="F31" s="34"/>
      <c r="G31" s="34"/>
      <c r="H31" s="35"/>
      <c r="I31" s="788" t="s">
        <v>482</v>
      </c>
      <c r="J31" s="789"/>
      <c r="K31" s="36">
        <f>B19</f>
        <v>2000</v>
      </c>
      <c r="L31" s="34" t="s">
        <v>483</v>
      </c>
      <c r="M31" s="36" t="str">
        <f>P34</f>
        <v>N/A</v>
      </c>
      <c r="N31" s="15"/>
      <c r="O31" s="34"/>
      <c r="P31" s="35"/>
      <c r="Q31" s="790" t="s">
        <v>482</v>
      </c>
      <c r="R31" s="791"/>
      <c r="S31" s="57">
        <f>B19</f>
        <v>2000</v>
      </c>
      <c r="T31" s="47" t="s">
        <v>484</v>
      </c>
      <c r="U31" s="57">
        <f>INT((S31-4)/25)+1</f>
        <v>80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2000</v>
      </c>
      <c r="E2" s="1">
        <f>تسجيل2!E7</f>
        <v>2000</v>
      </c>
      <c r="F2" s="1">
        <f>تسجيل2!E7</f>
        <v>2000</v>
      </c>
      <c r="G2" s="1">
        <f>تسجيل2!E7</f>
        <v>2000</v>
      </c>
      <c r="H2" s="8">
        <f>تسجيل2!E7</f>
        <v>2000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2000</v>
      </c>
      <c r="E6" s="1">
        <f>IF(E3=0,E2,E2-E3-E4+10)</f>
        <v>2000</v>
      </c>
      <c r="F6" s="1">
        <f>IF(F3=0,F2,F2-F3-F4+10)</f>
        <v>2000</v>
      </c>
      <c r="G6" s="1">
        <f>IF(G3=0,G2,G2-G3-G4+10)</f>
        <v>2000</v>
      </c>
      <c r="H6" s="8">
        <f>IF(H3=0,H2,H2-H3-H4+10)</f>
        <v>2000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2000</v>
      </c>
      <c r="L6" s="10">
        <f>IF('Format (2)'!E8=1,تسجيل2!E7-30,IF('Format (2)'!E8=2,D7,IF('Format (2)'!E8=3,E7,IF('Format (2)'!E8=4,F7,IF('Format (2)'!E8=5,G7,IF('Format (2)'!E8=6,H7,"-----"))))))</f>
        <v>1970</v>
      </c>
    </row>
    <row r="7">
      <c r="A7" s="798"/>
      <c r="B7" s="799"/>
      <c r="C7" s="19" t="s">
        <v>507</v>
      </c>
      <c r="D7" s="6">
        <f>D6-30</f>
        <v>1970</v>
      </c>
      <c r="E7" s="6">
        <f>E6-17</f>
        <v>1983</v>
      </c>
      <c r="F7" s="6">
        <f>F6-30</f>
        <v>1970</v>
      </c>
      <c r="G7" s="6">
        <f>G6-17</f>
        <v>1983</v>
      </c>
      <c r="H7" s="9">
        <f>H6-30</f>
        <v>1970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2000</v>
      </c>
      <c r="E11" s="1">
        <f>تسجيل2!E7</f>
        <v>2000</v>
      </c>
      <c r="F11" s="1">
        <f>تسجيل2!E7</f>
        <v>2000</v>
      </c>
      <c r="G11" s="1">
        <f>تسجيل2!E7</f>
        <v>2000</v>
      </c>
      <c r="H11" s="8">
        <f>تسجيل2!E7</f>
        <v>2000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2000</v>
      </c>
      <c r="L14" s="10">
        <f>IF('Format (2)'!E8=1,تسجيل2!E7-30,IF('Format (2)'!E8=2,D16,IF('Format (2)'!E8=3,E16,IF('Format (2)'!E8=4,F16,IF('Format (2)'!E8=5,G16,IF('Format (2)'!E8=6,H16))))))</f>
        <v>1970</v>
      </c>
    </row>
    <row r="15">
      <c r="A15" s="802"/>
      <c r="B15" s="803"/>
      <c r="C15" s="10" t="s">
        <v>505</v>
      </c>
      <c r="D15" s="1">
        <f>IF(D12=0,D11,D11-D12-D13+11)</f>
        <v>2000</v>
      </c>
      <c r="E15" s="1">
        <f>IF(E12=0,E11,E11-E12-E13+11)</f>
        <v>2000</v>
      </c>
      <c r="F15" s="1">
        <f>IF(F12=0,F11,F11-F12-F13+11)</f>
        <v>2000</v>
      </c>
      <c r="G15" s="1">
        <f>IF(G12=0,G11,G11-G12-G13+11)</f>
        <v>2000</v>
      </c>
      <c r="H15" s="8">
        <f>IF(H12=0,H11,H11-H12-H13+11)</f>
        <v>2000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1970</v>
      </c>
      <c r="E16" s="6">
        <f>E15-17</f>
        <v>1983</v>
      </c>
      <c r="F16" s="6">
        <f>F15-30</f>
        <v>1970</v>
      </c>
      <c r="G16" s="6">
        <f>G15-17</f>
        <v>1983</v>
      </c>
      <c r="H16" s="9">
        <f>H15-30</f>
        <v>1970</v>
      </c>
      <c r="Q16" s="10">
        <f>IF('Format (2)'!A7=1,K6,IF('Format (2)'!A7=3,K6,IF('Format (2)'!A7=4,K23,IF('Format (2)'!A7=2,K23,IF('Format (2)'!A7=5,K14,"------")))))</f>
        <v>2000</v>
      </c>
      <c r="R16" s="10">
        <f>IF('Format (2)'!A7=1,L6,IF('Format (2)'!A7=3,L6,IF('Format (2)'!A7=4,L23,IF('Format (2)'!A7=2,L23+2,IF('Format (2)'!A7=5,L14,"------")))))</f>
        <v>1972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2000</v>
      </c>
      <c r="E20" s="1">
        <f>تسجيل2!E7</f>
        <v>2000</v>
      </c>
      <c r="F20" s="1">
        <f>تسجيل2!E7</f>
        <v>2000</v>
      </c>
      <c r="G20" s="1">
        <f>تسجيل2!E7</f>
        <v>2000</v>
      </c>
      <c r="H20" s="8">
        <f>تسجيل2!E7</f>
        <v>2000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2000</v>
      </c>
      <c r="L23" s="10">
        <f>IF('Format (2)'!E8=1,تسجيل2!E7-30,IF('Format (2)'!E8=2,D25,IF('Format (2)'!E8=3,E25,IF('Format (2)'!E8=4,F25,IF('Format (2)'!E8=5,G25,IF('Format (2)'!E8=6,H25))))))</f>
        <v>1970</v>
      </c>
    </row>
    <row r="24">
      <c r="A24" s="808"/>
      <c r="B24" s="809"/>
      <c r="C24" s="10" t="s">
        <v>505</v>
      </c>
      <c r="D24" s="1">
        <f>IF(D21=0,D20,D20-D21-D22+11)</f>
        <v>2000</v>
      </c>
      <c r="E24" s="1">
        <f>IF(E21=0,E20,E20-E21-E22+11)</f>
        <v>2000</v>
      </c>
      <c r="F24" s="1">
        <f>IF(F21=0,F20,F20-F21-F22+11)</f>
        <v>2000</v>
      </c>
      <c r="G24" s="1">
        <f>IF(G21=0,G20,G20-G21-G22+11)</f>
        <v>2000</v>
      </c>
      <c r="H24" s="8">
        <f>IF(H21=0,H20,H20-H21-H22+11)</f>
        <v>2000</v>
      </c>
    </row>
    <row r="25">
      <c r="A25" s="810"/>
      <c r="B25" s="811"/>
      <c r="C25" s="19" t="s">
        <v>507</v>
      </c>
      <c r="D25" s="6">
        <f>D24-30</f>
        <v>1970</v>
      </c>
      <c r="E25" s="6">
        <f>E24-13</f>
        <v>1987</v>
      </c>
      <c r="F25" s="6">
        <f>F24-30</f>
        <v>1970</v>
      </c>
      <c r="G25" s="6">
        <f>G24-13</f>
        <v>1987</v>
      </c>
      <c r="H25" s="9">
        <f>H24-30</f>
        <v>1970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300</v>
      </c>
      <c r="J4" s="15">
        <v>4</v>
      </c>
      <c r="K4" s="15">
        <v>2</v>
      </c>
    </row>
    <row r="5">
      <c r="A5" s="1" t="s">
        <v>503</v>
      </c>
      <c r="B5" s="1">
        <f>تسجيل2!E7</f>
        <v>2000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389</v>
      </c>
      <c r="B6" s="1" t="e">
        <f>'Cutting Ro-2'!L14</f>
        <v>#VALUE!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514</v>
      </c>
      <c r="B9" s="1" t="e">
        <f>O8</f>
        <v>#VALUE!</v>
      </c>
      <c r="J9" s="15">
        <v>9</v>
      </c>
      <c r="K9" s="15">
        <v>4</v>
      </c>
    </row>
    <row r="10">
      <c r="A10" s="12" t="s">
        <v>515</v>
      </c>
      <c r="B10" s="13" t="e">
        <f>(((B4-(تسجيل2!C22*2))/200)+1)*B9</f>
        <v>#VALUE!</v>
      </c>
      <c r="C10" s="674" t="s">
        <v>516</v>
      </c>
      <c r="D10" s="674"/>
      <c r="E10" s="14" t="e">
        <f>ROUND(B10,0)</f>
        <v>#VALUE!</v>
      </c>
      <c r="J10" s="15">
        <v>10</v>
      </c>
      <c r="K10" s="15">
        <v>4</v>
      </c>
    </row>
    <row r="11">
      <c r="A11" s="12" t="s">
        <v>517</v>
      </c>
      <c r="B11" s="13" t="e">
        <f>E10/B9</f>
        <v>#VALUE!</v>
      </c>
      <c r="C11" s="674" t="s">
        <v>516</v>
      </c>
      <c r="D11" s="674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2000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1968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1965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1968</v>
      </c>
      <c r="F8" s="1">
        <f>IF('Format (2)'!A7=1,C6,IF('Format (2)'!A7=2,C7,IF('Format (2)'!A7=3,C8,IF('Format (2)'!A7=4,C9,IF('Format (2)'!A7=5,C10)))))</f>
        <v>1965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1968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2000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2000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2000</v>
      </c>
      <c r="F16" s="1">
        <f>IF('Format (2)'!A7=1,C14,IF('Format (2)'!A7=2,C15,IF('Format (2)'!A7=3,C16,IF('Format (2)'!A7=4,C17,IF('Format (2)'!A7=5,C118)))))</f>
        <v>2000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2000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38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583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584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585</v>
      </c>
      <c r="T31" s="452"/>
      <c r="U31" s="453" t="s">
        <v>531</v>
      </c>
      <c r="V31" s="415"/>
      <c r="W31" s="415"/>
      <c r="X31" s="454">
        <v>2000</v>
      </c>
      <c r="Y31" s="415"/>
      <c r="Z31" s="415"/>
      <c r="AA31" s="415"/>
      <c r="AB31" s="415"/>
      <c r="AC31" s="415"/>
      <c r="AD31" s="416"/>
      <c r="AE31" s="643" t="s">
        <v>586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535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300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587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588</v>
      </c>
      <c r="AT41" s="609"/>
      <c r="AU41" s="609"/>
      <c r="AW41" s="487"/>
      <c r="BD41" s="418" t="s">
        <v>589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590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591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592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593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594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595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590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592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593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594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596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597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45804.320945983796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45804.320945983796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8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5.76</v>
      </c>
      <c r="G6" s="242" t="s">
        <v>43</v>
      </c>
      <c r="H6" s="211">
        <v>8.5</v>
      </c>
      <c r="I6" s="211">
        <f>Table118[[#This Row],[الوزن]]*Table118[[#This Row],[عدد]]</f>
        <v>68</v>
      </c>
      <c r="J6" s="243">
        <f>H6*$H$2/1000</f>
        <v>382.5</v>
      </c>
      <c r="K6" s="240">
        <f>B6*J6</f>
        <v>3060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6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14.400000000000002</v>
      </c>
      <c r="G7" s="242" t="s">
        <v>43</v>
      </c>
      <c r="H7" s="211">
        <v>46.75</v>
      </c>
      <c r="I7" s="211">
        <f>Table118[[#This Row],[الوزن]]*Table118[[#This Row],[عدد]]</f>
        <v>280.5</v>
      </c>
      <c r="J7" s="243">
        <f ref="J7:J9" t="shared" si="1">H7*$H$2/1000</f>
        <v>2103.75</v>
      </c>
      <c r="K7" s="240">
        <f ref="K7:K9" t="shared" si="2">B7*J7</f>
        <v>12622.5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13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2.4000000000000004</v>
      </c>
      <c r="G9" s="211" t="s">
        <v>43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22.560000000000002</v>
      </c>
      <c r="G10" s="211"/>
      <c r="H10" s="211">
        <f>H9*B9+H8*B8+H7*B7</f>
        <v>336.5</v>
      </c>
      <c r="I10" s="211">
        <f>SUBTOTAL(109,Table118[اجمالي الميزان])</f>
        <v>404.5</v>
      </c>
      <c r="J10" s="242"/>
      <c r="K10" s="240">
        <f>SUBTOTAL(109,Table118[اجمالي])</f>
        <v>18202.5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1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3.3600000000000003</v>
      </c>
      <c r="G14" s="211" t="s">
        <v>43</v>
      </c>
      <c r="H14" s="211">
        <v>101</v>
      </c>
      <c r="I14" s="211">
        <f>Table1421[[#This Row],[الوزن]]*Table1421[[#This Row],[عدد]]</f>
        <v>101</v>
      </c>
      <c r="J14" s="243">
        <f t="shared" si="3"/>
        <v>4545</v>
      </c>
      <c r="K14" s="240">
        <f t="shared" si="4"/>
        <v>4545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3.3600000000000003</v>
      </c>
      <c r="G15" s="211"/>
      <c r="H15" s="211">
        <f>H13*B13+H14*B14</f>
        <v>101</v>
      </c>
      <c r="I15" s="211">
        <f>SUBTOTAL(109,Table1421[سعر الكيلو])</f>
        <v>101</v>
      </c>
      <c r="J15" s="239"/>
      <c r="K15" s="240">
        <f>SUBTOTAL(109,Table1421[اجمالي])</f>
        <v>4545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2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800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500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4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440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130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6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60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3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2100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20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20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450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4500</v>
      </c>
      <c r="L28" s="244" t="e">
        <f>Table1522[[#Totals],[اجمالي]]/$G$84</f>
        <v>#VALUE!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4.333333333333333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1733.3333333333333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190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0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0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3273.333333333333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1155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24000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25155</v>
      </c>
      <c r="L56" s="241" t="e">
        <f>Table161027[[#Totals],[اجمالي]]/$G$84</f>
        <v>#VALUE!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التجمع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4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2" s="240">
        <f t="shared" si="14"/>
        <v>5200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التجمع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التجمع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التجمع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التجمع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20</v>
      </c>
      <c r="C77" s="220" t="s">
        <v>147</v>
      </c>
      <c r="D77" s="211"/>
      <c r="E77" s="211"/>
      <c r="F77" s="211" t="str">
        <f>تسعير!$T$24</f>
        <v>التجمع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5000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التجمع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التجمع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20</v>
      </c>
      <c r="C80" s="220" t="s">
        <v>15</v>
      </c>
      <c r="D80" s="211"/>
      <c r="E80" s="211"/>
      <c r="F80" s="211" t="str">
        <f>تسعير!$T$24</f>
        <v>التجمع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2400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4390</v>
      </c>
      <c r="I81" s="520"/>
      <c r="J81" s="525"/>
      <c r="K81" s="526">
        <f>SUBTOTAL(109,Table161229[اجمالي])</f>
        <v>33340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45804.320946122687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45804.320946157408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45804.320946168984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45804.320946168984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45804.320946168984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45804.320946168984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