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05" yWindow="-105" windowWidth="23250" windowHeight="12570" tabRatio="927"/>
  </bookViews>
  <sheets>
    <sheet name="Sheet2" sheetId="1" r:id="rId1"/>
    <sheet name="تسعير" sheetId="3" r:id="rId2"/>
    <sheet name="Royal" sheetId="2" r:id="rId3"/>
    <sheet name="Royal2" sheetId="23" r:id="rId4"/>
    <sheet name="wavy1" sheetId="22" r:id="rId5"/>
    <sheet name="wavy2" sheetId="25" r:id="rId6"/>
    <sheet name="شماسي و كانتليفر" sheetId="24" r:id="rId7"/>
    <sheet name="بيرسا و لوفرز" sheetId="26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<sst xmlns="http://schemas.openxmlformats.org/spreadsheetml/2006/main" count="594" uniqueCount="594">
  <si>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</si>
  <si>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</si>
  <si>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</si>
  <si>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</si>
  <si>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</si>
  <si>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</si>
  <si>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</si>
  <si>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</si>
  <si>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</si>
  <si>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</si>
  <si>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</si>
  <si>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</si>
  <si>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</si>
  <si>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</si>
  <si>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</si>
  <si>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</si>
  <si>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</si>
  <si>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</si>
  <si>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</si>
  <si>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</si>
  <si>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</si>
  <si>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</si>
  <si>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</si>
  <si>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</si>
  <si>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</si>
  <si>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</si>
  <si>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</si>
  <si>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</si>
  <si>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</si>
  <si>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</si>
  <si>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</si>
  <si>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</si>
  <si>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</si>
  <si>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</si>
  <si>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</si>
  <si>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</si>
  <si>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</si>
  <si>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</si>
  <si>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</si>
  <si>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</si>
  <si>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</si>
  <si>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</si>
  <si>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</si>
  <si>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</si>
  <si>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</si>
  <si>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</si>
  <si>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</si>
  <si>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</si>
  <si>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</si>
  <si>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</si>
  <si>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</si>
  <si>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</si>
  <si>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</si>
  <si>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</si>
  <si>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</si>
  <si>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</si>
  <si>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</si>
  <si>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</si>
  <si>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</si>
  <si>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</si>
  <si>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</si>
  <si>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</si>
  <si>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</si>
  <si>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</si>
  <si>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</si>
  <si>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</si>
  <si>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</si>
  <si>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</si>
  <si>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</si>
  <si>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</si>
  <si>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</si>
  <si>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</si>
  <si>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</si>
  <si>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</si>
  <si>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</si>
  <si>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</si>
  <si>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</si>
  <si>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</si>
  <si>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</si>
  <si>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</si>
  <si>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</si>
  <si>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</si>
  <si>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</si>
  <si>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</si>
  <si>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</si>
  <si>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</si>
  <si>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</si>
  <si>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</si>
  <si>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</si>
  <si>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</si>
  <si>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</si>
  <si>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</si>
  <si>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</si>
  <si>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</si>
  <si>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</si>
  <si>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</si>
  <si>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</si>
  <si>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</si>
  <si>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</si>
  <si>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</si>
  <si>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</si>
  <si>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</si>
  <si>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</si>
  <si>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</si>
  <si>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</si>
  <si>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</si>
  <si>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</si>
  <si>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</si>
  <si>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</si>
  <si>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</si>
  <si>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</si>
  <si>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</si>
  <si>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</si>
  <si>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</si>
  <si>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</si>
  <si>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</si>
  <si>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</si>
  <si>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</si>
  <si>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</si>
  <si>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</si>
  <si>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</si>
  <si>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</si>
  <si>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</si>
  <si>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</si>
  <si>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</si>
  <si>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</si>
  <si>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</si>
  <si>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</si>
  <si>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</si>
  <si>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</si>
  <si>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</si>
  <si>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</si>
  <si>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</si>
  <si>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</si>
  <si>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</si>
  <si>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</si>
  <si>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</si>
  <si>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</si>
  <si>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</si>
  <si>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</si>
  <si>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</si>
  <si>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</si>
  <si>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</si>
  <si>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</si>
  <si>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</si>
  <si>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</si>
  <si>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</si>
  <si>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</si>
  <si>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</si>
  <si>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</si>
  <si>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</si>
  <si>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</si>
  <si>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</si>
  <si>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</si>
  <si>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</si>
  <si>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</si>
  <si>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</si>
  <si>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</si>
  <si>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</si>
  <si>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</si>
  <si>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</si>
  <si>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</si>
  <si>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</si>
  <si>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</si>
  <si>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</si>
  <si>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</si>
  <si>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A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</si>
  <si>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</si>
  <si>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</si>
  <si>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</si>
  <si>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</si>
  <si>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</si>
  <si>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</si>
  <si>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</si>
  <si>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</si>
  <si>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</si>
  <si>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</si>
  <si>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</si>
  <si>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</si>
  <si>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قطاعي</t>
  </si>
  <si>
    <t>مربعة</t>
  </si>
  <si>
    <t>اسباني</t>
  </si>
  <si>
    <t>single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</si>
  <si>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</si>
  <si>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</si>
  <si>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</si>
  <si>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</si>
  <si>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</si>
  <si>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</si>
  <si>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</si>
  <si>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</si>
  <si>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</si>
  <si>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</si>
  <si>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</si>
  <si>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</si>
  <si>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</si>
  <si>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</si>
  <si>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</si>
  <si>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المقاس</t>
  </si>
  <si>
    <t>4*4</t>
  </si>
  <si>
    <t>بولي استر</t>
  </si>
  <si>
    <t>double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</si>
  <si>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</si>
  <si>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</si>
  <si>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</si>
  <si>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</si>
  <si>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</si>
  <si>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</si>
  <si>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</si>
  <si>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</si>
  <si>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</si>
  <si>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</si>
  <si>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</si>
  <si>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</si>
  <si>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</si>
  <si>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</si>
  <si>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</si>
  <si>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</si>
  <si>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</si>
  <si>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</si>
  <si>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</si>
  <si>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</si>
  <si>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</si>
  <si>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</si>
  <si>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</si>
  <si>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</si>
  <si>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</si>
  <si>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</si>
  <si>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</si>
  <si>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</si>
  <si>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</si>
  <si>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</si>
  <si>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</si>
  <si>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</si>
  <si>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</si>
  <si>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</si>
  <si>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</si>
  <si>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</si>
  <si>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</si>
  <si>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</si>
  <si>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</si>
  <si>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</si>
  <si>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</si>
  <si>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</si>
  <si>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</si>
  <si>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</si>
  <si>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</si>
  <si>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</si>
  <si>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</si>
  <si>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</si>
  <si>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</si>
  <si>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</si>
  <si>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</si>
  <si>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</si>
  <si>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</si>
  <si>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</si>
  <si>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</si>
  <si>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</si>
  <si>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</si>
  <si>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</si>
  <si>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</si>
  <si>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</si>
  <si>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</si>
  <si>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</si>
  <si>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</si>
  <si>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</si>
  <si>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</si>
  <si>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</si>
  <si>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</si>
  <si>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</si>
  <si>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</si>
  <si>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</si>
  <si>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</si>
  <si>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</si>
  <si>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</si>
  <si>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</si>
  <si>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</si>
  <si>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</si>
  <si>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</si>
  <si>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</si>
  <si>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</si>
  <si>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</si>
  <si>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</si>
  <si>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</si>
  <si>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</si>
  <si>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</si>
  <si>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</si>
  <si>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</si>
  <si>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</si>
  <si>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</si>
  <si>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</si>
  <si>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</si>
  <si>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</si>
  <si>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</si>
  <si>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</si>
  <si>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</si>
  <si>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</si>
  <si>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</si>
  <si>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</si>
  <si>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</si>
  <si>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</si>
  <si>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</si>
  <si>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</si>
  <si>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</si>
  <si>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</si>
  <si>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</si>
  <si>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</si>
  <si>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</si>
  <si>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</si>
  <si>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</si>
  <si>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</si>
  <si>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</si>
  <si>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</si>
  <si>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</si>
  <si>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</si>
  <si>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</si>
  <si>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</si>
  <si>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</si>
  <si>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</si>
  <si>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</si>
  <si>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</si>
  <si>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</si>
  <si>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</si>
  <si>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</si>
  <si>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</si>
  <si>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</si>
  <si>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</si>
  <si>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</si>
  <si>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</si>
  <si>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</si>
  <si>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</si>
  <si>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</si>
  <si>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</si>
  <si>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</si>
  <si>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</si>
  <si>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</si>
  <si>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</si>
  <si>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</si>
  <si>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</si>
  <si>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</si>
  <si>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</si>
  <si>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</si>
  <si>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</si>
  <si>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</si>
  <si>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</si>
  <si>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</si>
  <si>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</si>
  <si>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</si>
  <si>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</si>
  <si>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</si>
  <si>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</si>
  <si>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</si>
  <si>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</si>
  <si>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</si>
  <si>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</si>
  <si>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</si>
  <si>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</si>
  <si>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</si>
  <si>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</si>
  <si>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</si>
  <si>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</si>
  <si>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</si>
  <si>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</si>
  <si>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</si>
  <si>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</si>
  <si>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</si>
  <si>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</si>
  <si>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</si>
  <si>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</si>
  <si>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</si>
  <si>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</si>
  <si>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</si>
  <si>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</si>
  <si>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</si>
  <si>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</si>
  <si>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</si>
  <si>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</si>
  <si>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</si>
  <si>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</si>
  <si>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</si>
  <si>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</si>
  <si>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</si>
  <si>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</si>
  <si>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</si>
  <si>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</si>
  <si>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</si>
  <si>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</si>
  <si>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</si>
  <si>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</si>
  <si>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</si>
  <si>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</si>
  <si>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</si>
  <si>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</si>
  <si>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</si>
  <si>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</si>
  <si>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</si>
  <si>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</si>
  <si>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</si>
  <si>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</si>
  <si>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</si>
  <si>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</si>
  <si>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</si>
  <si>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</si>
  <si>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</si>
  <si>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</si>
  <si>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</si>
  <si>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</si>
  <si>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</si>
  <si>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</si>
  <si>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</si>
  <si>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</si>
  <si>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</si>
  <si>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</si>
  <si>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</si>
  <si>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</si>
  <si>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</si>
  <si>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</si>
  <si>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</si>
  <si>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</si>
  <si>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</si>
  <si>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</si>
  <si>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</si>
  <si>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</si>
  <si>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</si>
  <si>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</si>
  <si>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</si>
  <si>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</si>
  <si>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</si>
  <si>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</si>
  <si>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</si>
  <si>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</si>
  <si>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</si>
  <si>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</si>
  <si>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</si>
  <si>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</si>
  <si>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</si>
  <si>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</si>
  <si>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</si>
  <si>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</si>
  <si>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</si>
  <si>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</si>
  <si>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</si>
  <si>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</si>
  <si>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</si>
  <si>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</si>
  <si>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</si>
  <si>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</si>
  <si>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</si>
  <si>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</si>
  <si>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</si>
  <si>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</si>
  <si>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</si>
  <si>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</si>
  <si>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</si>
  <si>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</si>
  <si>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</si>
  <si>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</si>
  <si>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</si>
  <si>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</si>
  <si>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</si>
  <si>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</si>
  <si>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</si>
  <si>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</si>
  <si>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</si>
  <si>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</si>
  <si>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</si>
  <si>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</si>
  <si>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</si>
  <si>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</si>
  <si>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</si>
  <si>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</si>
  <si>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</si>
  <si>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</si>
  <si>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</si>
  <si>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</si>
  <si>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</si>
  <si>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</si>
  <si>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</si>
  <si>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</si>
  <si>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</si>
  <si>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</si>
  <si>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</si>
  <si>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الخرشوفة</t>
  </si>
  <si>
    <t>كود الشمسية</t>
  </si>
  <si>
    <t>الخرشوفة مشكلة</t>
  </si>
  <si>
    <t>v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</si>
  <si>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</si>
  <si>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</si>
  <si>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</si>
  <si>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</si>
  <si>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</si>
  <si>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</si>
  <si>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</si>
  <si>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</si>
  <si>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</si>
  <si>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</si>
  <si>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</si>
  <si>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</si>
  <si>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</si>
  <si>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</si>
  <si>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</si>
  <si>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</si>
  <si>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</si>
  <si>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</si>
  <si>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</si>
  <si>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</si>
  <si>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</si>
  <si>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</si>
  <si>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</si>
  <si>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</si>
  <si>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</si>
  <si>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</si>
  <si>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</si>
  <si>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</si>
  <si>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</si>
  <si>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</si>
  <si>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</si>
  <si>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</si>
  <si>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</si>
  <si>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</si>
  <si>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</si>
  <si>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</si>
  <si>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</si>
  <si>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</si>
  <si>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no</t>
  </si>
  <si>
    <t>مدور 2.5</t>
  </si>
  <si>
    <t>جملة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</si>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</sst>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8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5" applyFont="1" fillId="0" borderId="0" applyProtection="1"/>
    <xf numFmtId="0" fontId="94" applyFont="1" fillId="0" borderId="0" applyProtection="1"/>
    <xf numFmtId="0" fontId="2" applyFont="1" fillId="0" borderId="0" applyProtection="1"/>
    <xf numFmtId="9" applyNumberFormat="1" fontId="95" applyFont="1" fillId="0" borderId="0" applyProtection="1"/>
  </cellStyleXfs>
  <cellXfs count="790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23" applyBorder="1" xfId="0" applyAlignment="1">
      <alignment horizontal="center" vertical="center"/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1" applyBorder="1" xfId="0"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6" applyBorder="1" xfId="0"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28" applyBorder="1" xfId="0" applyProtection="1"/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1" applyFont="1" fillId="16" applyFill="1" borderId="0" xfId="0" applyProtection="1"/>
    <xf numFmtId="0" fontId="82" applyFont="1" fillId="0" borderId="45" applyBorder="1" xfId="0" applyProtection="1" applyAlignment="1">
      <alignment horizontal="center" vertical="center"/>
    </xf>
    <xf numFmtId="0" fontId="83" applyFont="1" fillId="0" borderId="45" applyBorder="1" xfId="0" applyProtection="1" applyAlignment="1">
      <alignment horizontal="center" vertical="center" wrapText="1"/>
    </xf>
    <xf numFmtId="0" fontId="82" applyFont="1" fillId="0" borderId="31" applyBorder="1" xfId="0" applyProtection="1" applyAlignment="1">
      <alignment horizontal="center" vertical="center"/>
    </xf>
    <xf numFmtId="0" fontId="84" applyFont="1" fillId="0" borderId="41" applyBorder="1" xfId="0" applyProtection="1" applyAlignment="1">
      <alignment horizontal="center" vertical="center"/>
    </xf>
    <xf numFmtId="0" fontId="84" applyFont="1" fillId="0" borderId="63" applyBorder="1" xfId="0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9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9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1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3" applyFont="1" fillId="0" borderId="20" applyBorder="1" xfId="0" applyProtection="1" applyAlignment="1">
      <alignment horizontal="center"/>
    </xf>
    <xf numFmtId="0" fontId="93" applyFont="1" fillId="0" borderId="21" applyBorder="1" xfId="0" applyProtection="1" applyAlignment="1">
      <alignment horizontal="center"/>
    </xf>
    <xf numFmtId="0" fontId="93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3" applyFont="1" fillId="0" borderId="23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24" applyBorder="1" xfId="0" applyProtection="1" applyAlignment="1">
      <alignment horizontal="center"/>
    </xf>
    <xf numFmtId="0" fontId="93" applyFont="1" fillId="0" borderId="25" applyBorder="1" xfId="0" applyProtection="1" applyAlignment="1">
      <alignment horizontal="center"/>
    </xf>
    <xf numFmtId="0" fontId="93" applyFont="1" fillId="0" borderId="26" applyBorder="1" xfId="0" applyProtection="1" applyAlignment="1">
      <alignment horizontal="center"/>
    </xf>
    <xf numFmtId="0" fontId="93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6" applyFont="1" fillId="0" borderId="0" xfId="0" applyProtection="1" applyAlignment="1">
      <alignment horizontal="center"/>
    </xf>
    <xf numFmtId="0" fontId="96" applyFont="1" fillId="0" borderId="0" xfId="0" applyProtection="1" applyAlignment="1">
      <alignment horizontal="center"/>
      <protection locked="0"/>
    </xf>
    <xf numFmtId="0" fontId="96" applyFont="1" fillId="0" borderId="0" xfId="0" applyProtection="1" applyAlignment="1">
      <alignment horizontal="center" vertical="center" shrinkToFit="1"/>
    </xf>
    <xf numFmtId="0" fontId="96" applyFont="1" fillId="0" borderId="0" xfId="0" applyProtection="1" applyAlignment="1">
      <alignment horizontal="center" shrinkToFit="1"/>
    </xf>
    <xf numFmtId="0" fontId="97" applyFont="1" fillId="0" borderId="0" xfId="0" applyProtection="1" applyAlignment="1">
      <alignment horizontal="center"/>
    </xf>
    <xf numFmtId="0" fontId="98" applyFont="1" fillId="0" borderId="0" xfId="0" applyProtection="1" applyAlignment="1">
      <alignment horizontal="center"/>
    </xf>
    <xf numFmtId="2" applyNumberFormat="1" fontId="96" applyFont="1" fillId="12" applyFill="1" borderId="0" xfId="0" applyProtection="1" applyAlignment="1">
      <alignment horizontal="center"/>
    </xf>
    <xf numFmtId="9" applyNumberFormat="1" fontId="97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9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9" applyFont="1" fillId="16" applyFill="1" borderId="71" applyBorder="1" xfId="0" applyProtection="1" applyAlignment="1">
      <alignment vertical="center"/>
    </xf>
    <xf numFmtId="0" fontId="99" applyFont="1" fillId="16" applyFill="1" borderId="69" applyBorder="1" xfId="0" applyProtection="1" applyAlignment="1">
      <alignment vertical="center"/>
    </xf>
    <xf numFmtId="0" fontId="1" applyFont="1" fillId="0" borderId="0" xfId="0" applyProtection="1" applyAlignment="1">
      <alignment horizont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100" applyFont="1" fillId="16" applyFill="1" borderId="49" applyBorder="1" xfId="0" applyProtection="1" applyAlignment="1">
      <alignment horizontal="center" vertical="center"/>
    </xf>
    <xf numFmtId="1" applyNumberFormat="1" fontId="101" applyFont="1" fillId="16" applyFill="1" borderId="56" applyBorder="1" xfId="0" applyProtection="1" applyAlignment="1">
      <alignment horizontal="center" vertical="center"/>
    </xf>
    <xf numFmtId="0" fontId="103" applyFont="1" fillId="8" applyFill="1" borderId="23" applyBorder="1" xfId="3" applyProtection="1" applyAlignment="1">
      <alignment horizontal="center" vertical="center"/>
    </xf>
    <xf numFmtId="169" applyNumberFormat="1" fontId="104" applyFont="1" fillId="8" applyFill="1" borderId="0" xfId="3" applyProtection="1" applyAlignment="1">
      <alignment horizontal="center" vertical="center"/>
    </xf>
    <xf numFmtId="0" fontId="103" applyFont="1" fillId="20" applyFill="1" borderId="0" xfId="3" applyProtection="1" applyAlignment="1">
      <alignment horizontal="center" vertical="center"/>
    </xf>
    <xf numFmtId="3" applyNumberFormat="1" fontId="103" applyFont="1" fillId="2" applyFill="1" borderId="0" xfId="3" applyProtection="1" applyAlignment="1">
      <alignment horizontal="center" vertical="center"/>
    </xf>
    <xf numFmtId="0" fontId="105" applyFont="1" fillId="0" borderId="0" xfId="3" applyProtection="1" applyAlignment="1">
      <alignment horizontal="center" vertical="center"/>
    </xf>
    <xf numFmtId="0" fontId="106" applyFont="1" fillId="0" borderId="23" applyBorder="1" xfId="0" applyProtection="1" applyAlignment="1">
      <alignment horizontal="center" vertical="center"/>
    </xf>
    <xf numFmtId="0" fontId="106" applyFont="1" fillId="0" borderId="0" xfId="0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3" applyNumberFormat="1" fontId="106" applyFont="1" fillId="0" borderId="0" xfId="0" applyProtection="1" applyAlignment="1">
      <alignment horizontal="center" vertical="center"/>
    </xf>
    <xf numFmtId="169" applyNumberFormat="1" fontId="106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3" applyFont="1" fillId="0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107" applyFont="1" fillId="0" borderId="23" applyBorder="1" xfId="0" applyProtection="1" applyAlignment="1">
      <alignment horizontal="center" vertical="center"/>
    </xf>
    <xf numFmtId="2" applyNumberFormat="1" fontId="107" applyFont="1" fillId="0" borderId="0" xfId="0" applyProtection="1" applyAlignment="1">
      <alignment horizontal="center" vertical="center"/>
    </xf>
    <xf numFmtId="0" fontId="107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93" applyFont="1" fillId="0" borderId="21" applyBorder="1" xfId="0" applyProtection="1" applyAlignment="1">
      <alignment horizontal="center" vertical="center"/>
    </xf>
    <xf numFmtId="0" fontId="93" applyFont="1" fillId="0" borderId="0" xfId="0" applyProtection="1" applyAlignment="1">
      <alignment horizontal="center" vertical="center"/>
    </xf>
    <xf numFmtId="0" fontId="93" applyFont="1" fillId="0" borderId="0" xfId="0" applyProtection="1" applyAlignment="1">
      <alignment horizont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3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7" applyFont="1" fillId="0" borderId="2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85" applyFont="1" fillId="0" borderId="21" applyBorder="1" xfId="0" applyProtection="1" applyAlignment="1">
      <alignment horizontal="center" vertical="center"/>
    </xf>
    <xf numFmtId="0" fontId="85" applyFont="1" fillId="0" borderId="5" applyBorder="1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92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164" applyNumberFormat="1" fontId="88" applyFont="1" fillId="0" borderId="65" applyBorder="1" xfId="1" applyProtection="1" applyAlignment="1">
      <alignment horizontal="center" vertical="center"/>
    </xf>
    <xf numFmtId="164" applyNumberFormat="1" fontId="88" applyFont="1" fillId="0" borderId="0" xfId="1" applyProtection="1" applyAlignment="1">
      <alignment horizontal="center" vertical="center"/>
    </xf>
    <xf numFmtId="0" fontId="86" applyFont="1" fillId="0" borderId="65" applyBorder="1" xfId="0" applyProtection="1" applyAlignment="1">
      <alignment horizontal="center" vertical="center"/>
    </xf>
    <xf numFmtId="0" fontId="86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5" applyFont="1" fillId="0" borderId="21" applyBorder="1" xfId="0" applyProtection="1" applyAlignment="1">
      <alignment horizontal="center" vertical="center" wrapText="1"/>
    </xf>
    <xf numFmtId="0" fontId="85" applyFont="1" fillId="0" borderId="5" applyBorder="1" xfId="0" applyProtection="1" applyAlignment="1">
      <alignment horizontal="center" vertical="center" wrapText="1"/>
    </xf>
    <xf numFmtId="0" fontId="75" applyFont="1" fillId="0" borderId="0" xfId="0" applyProtection="1" applyAlignment="1">
      <alignment horizontal="center" vertic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90" applyFont="1" fillId="7" applyFill="1" borderId="20" applyBorder="1" xfId="1" applyProtection="1" applyAlignment="1">
      <alignment horizontal="center"/>
    </xf>
    <xf numFmtId="164" applyNumberFormat="1" fontId="90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3" applyNumberFormat="1" fontId="59" applyFont="1" fillId="16" applyFill="1" borderId="0" xfId="0" applyProtection="1" applyAlignment="1">
      <alignment horizontal="center" vertical="center"/>
    </xf>
    <xf numFmtId="3" applyNumberFormat="1" fontId="80" applyFont="1" fillId="16" applyFill="1" borderId="0" xfId="0" applyProtection="1" applyAlignment="1">
      <alignment horizontal="right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6" applyFont="1" fillId="0" borderId="67" applyBorder="1" xfId="0" applyProtection="1" applyAlignment="1">
      <alignment horizontal="center" vertical="center"/>
    </xf>
    <xf numFmtId="0" fontId="86" applyFont="1" fillId="0" borderId="68" applyBorder="1" xfId="0" applyProtection="1" applyAlignment="1">
      <alignment horizontal="center" vertical="center"/>
    </xf>
    <xf numFmtId="164" applyNumberFormat="1" fontId="88" applyFont="1" fillId="0" borderId="67" applyBorder="1" xfId="1" applyProtection="1" applyAlignment="1">
      <alignment horizontal="center" vertical="center"/>
    </xf>
    <xf numFmtId="164" applyNumberFormat="1" fontId="88" applyFont="1" fillId="0" borderId="68" applyBorder="1" xfId="1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0" borderId="0" xfId="3" applyProtection="1" applyAlignment="1">
      <alignment horizontal="left"/>
    </xf>
    <xf numFmtId="0" fontId="2" applyFont="1" fillId="0" borderId="0" xfId="3" applyProtection="1" applyAlignment="1">
      <alignment horizontal="center"/>
    </xf>
    <xf numFmtId="0" fontId="5" applyFont="1" fillId="0" borderId="0" xfId="3" applyProtection="1" applyAlignment="1">
      <alignment horizontal="left" wrapText="1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2" applyFont="1" fillId="0" borderId="0" xfId="3" applyProtection="1" applyAlignment="1">
      <alignment horizontal="left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237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56"/>
    <tableColumn id="2" name="المعدل" dataDxfId="1201"/>
    <tableColumn id="3" name="الوحدة" dataDxfId="1201"/>
    <tableColumn id="4" name="Column4" dataDxfId="88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191" totalsRowDxfId="1192"/>
    <tableColumn id="2" name="عدد" dataDxfId="1193" totalsRowDxfId="1192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Column12" dataDxfId="1191" totalsRowDxfId="1192"/>
    <tableColumn id="4" name="الوحده" totalsRowLabel="total" dataDxfId="1191" totalsRowDxfId="1192"/>
    <tableColumn id="5" name="الوزن" dataDxfId="1191" totalsRowDxfId="1192"/>
    <tableColumn id="6" name="سعر الكيلو" dataDxfId="1191" totalsRowDxfId="1192"/>
    <tableColumn id="7" name="سعر الشبك " dataDxfId="1194" totalsRowDxfId="1195">
      <calculatedColumnFormula>BP28</calculatedColumnFormula>
    </tableColumn>
    <tableColumn id="8" name="اجمالي" totalsRowFunction="sum" dataDxfId="1196" totalsRowDxfId="1197">
      <calculatedColumnFormula>BH98*BP99</calculatedColumnFormula>
    </tableColumn>
    <tableColumn id="9" name="%" totalsRowFunction="custom" totalsRowDxfId="1198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191" totalsRowDxfId="1192"/>
    <tableColumn id="2" name="عدد" dataDxfId="1193" totalsRowDxfId="1192">
      <calculatedColumnFormula>IF((#REF!="بالتات"),0,4)</calculatedColumnFormula>
    </tableColumn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Column12" dataDxfId="1199" totalsRowDxfId="1200"/>
    <tableColumn id="4" name="الوحده" dataDxfId="1191" totalsRowDxfId="1192"/>
    <tableColumn id="5" name="الوزن" dataDxfId="1191" totalsRowDxfId="1192"/>
    <tableColumn id="6" name="سعر الكيلو" dataDxfId="1191" totalsRowDxfId="1192"/>
    <tableColumn id="7" name="سعر الشبك " dataDxfId="1212" totalsRowDxfId="1195">
      <calculatedColumnFormula>Sheet2!AW26</calculatedColumnFormula>
    </tableColumn>
    <tableColumn id="8" name="اجمالي" totalsRowFunction="sum" dataDxfId="1196" totalsRowDxfId="1197">
      <calculatedColumnFormula>BH84*BP84</calculatedColumnFormula>
    </tableColumn>
    <tableColumn id="9" name="%" totalsRowFunction="custom" totalsRowDxfId="1198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191"/>
    <tableColumn id="2" name="عدد" totalsRowFunction="sum" dataDxfId="1191">
      <calculatedColumnFormula>BH90*4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totalsRowFunction="sum" dataDxfId="1199">
      <calculatedColumnFormula>(Table16627394105[[#This Row],[Column1]]*Table16627394105[[#This Row],[Column2]])*Table16627394105[[#This Row],[عدد]]</calculatedColumnFormula>
    </tableColumn>
    <tableColumn id="4" name="الوحده" dataDxfId="1191"/>
    <tableColumn id="5" name="الوزن" totalsRowFunction="custom">
      <totalsRowFormula>(BN93*BH93)+(BH94*BN94)</totalsRowFormula>
    </tableColumn>
    <tableColumn id="6" name="سعر الكيلو" dataDxfId="1193"/>
    <tableColumn id="7" name="سعر الشبك " dataDxfId="1194">
      <calculatedColumnFormula>BN92*$S$2/1000</calculatedColumnFormula>
    </tableColumn>
    <tableColumn id="8" name="اجمالي" totalsRowFunction="sum" dataDxfId="1196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1201"/>
    <tableColumn id="2" name="المعدل" dataDxfId="1201"/>
    <tableColumn id="3" name="الوحدة" dataDxfId="1201"/>
    <tableColumn id="4" name="Column4" dataDxfId="1208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1201"/>
    <tableColumn id="2" name="Column2" dataDxfId="1208"/>
    <tableColumn id="3" name="Column3" dataDxfId="1201"/>
    <tableColumn id="4" name="Column4" dataDxfId="1201"/>
    <tableColumn id="5" name="Column5" dataDxfId="1201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191"/>
    <tableColumn id="2" name="عدد" dataDxfId="1207">
      <calculatedColumnFormula>IF((تسعير!$AU$14="بالتات"),0,BH119-2)</calculatedColumnFormula>
    </tableColumn>
    <tableColumn id="3" name="بيان" totalsRowLabel="Total" dataDxfId="1204"/>
    <tableColumn id="5" name="اليومية / الاجرة" dataDxfId="1204"/>
    <tableColumn id="6" name="بدل الوجبة" dataDxfId="1205"/>
    <tableColumn id="11" name="موقع العمل" dataDxfId="1202">
      <calculatedColumnFormula>تسعير!$BE$44</calculatedColumnFormula>
    </tableColumn>
    <tableColumn id="10" name="شيفت العمل" dataDxfId="1191"/>
    <tableColumn id="12" name="Column12" totalsRowFunction="sum" dataDxfId="1199">
      <calculatedColumnFormula>SUMIF(Table17697899110[Column1],Table1612677697108[[#This Row],[موقع العمل]],$AE$2:$AE$8)</calculatedColumnFormula>
    </tableColumn>
    <tableColumn id="4" name="عدد الايام" dataDxfId="1213"/>
    <tableColumn id="7" name="اجمالي التكلفة للعامل" dataDxfId="1214">
      <calculatedColumnFormula>Table1612677697108[[#This Row],[Column12]]</calculatedColumnFormula>
    </tableColumn>
    <tableColumn id="8" name="اجمالي" totalsRowFunction="sum" dataDxfId="1196">
      <calculatedColumnFormula>BH122*BP122</calculatedColumnFormula>
    </tableColumn>
    <tableColumn id="9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202"/>
    <tableColumn id="2" name="عدد" dataDxfId="1207">
      <calculatedColumnFormula>IF((BL133="الاسكندرية"),0.25,0.1)</calculatedColumnFormula>
    </tableColumn>
    <tableColumn id="3" name="بيان" totalsRowLabel="Total" dataDxfId="1202"/>
    <tableColumn id="11" name="Column2" dataDxfId="1202"/>
    <tableColumn id="10" name="Column1" dataDxfId="1202"/>
    <tableColumn id="12" name="Column12" totalsRowFunction="sum" dataDxfId="1217"/>
    <tableColumn id="4" name="الوحده" dataDxfId="1203"/>
    <tableColumn id="5" name="الوزن" dataDxfId="1202"/>
    <tableColumn id="6" name="سعر الكيلو" dataDxfId="1202"/>
    <tableColumn id="7" name="سعر الشبك " dataDxfId="1212">
      <calculatedColumnFormula>BQ116</calculatedColumnFormula>
    </tableColumn>
    <tableColumn id="8" name="اجمالي" totalsRowFunction="sum" dataDxfId="1196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1201"/>
    <tableColumn id="2" name="خارجي" dataDxfId="1201"/>
    <tableColumn id="3" name="داخلي" dataDxfId="1201"/>
    <tableColumn id="4" name="بدل الوجبة" dataDxfId="1201"/>
    <tableColumn id="5" name="دبابة" dataDxfId="1201"/>
    <tableColumn id="6" name="جامبو" dataDxfId="1201"/>
    <tableColumn id="7" name="الاقامة" dataDxfId="1201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202"/>
    <tableColumn id="4" name="Column22" dataDxfId="1202"/>
    <tableColumn id="5" name="Column23" dataDxfId="1202"/>
    <tableColumn id="3" name="Column3" dataDxfId="1215">
      <calculatedColumnFormula>IF((BL133="المقطم"),0.3,IF((BL133="التجمع"),0.3,IF((BL133="الشيخ زايد"),0.3,IF((BL133="الاسكندرية"),0.5,0.35))))</calculatedColumnFormula>
    </tableColumn>
    <tableColumn id="2" name="Column2" dataDxfId="1207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191"/>
    <tableColumn id="2" name="عدد" dataDxfId="1191">
      <calculatedColumnFormula>IF(OR((BI69="B11"),(BI69="B12"),(BI69="B21"),(BI69="B22"),(BI69="B31"),(BI69="B32")),3,0)</calculatedColumnFormula>
    </tableColumn>
    <tableColumn id="3" name="بيان" totalsRowLabel="Total" dataDxfId="1191"/>
    <tableColumn id="11" name="Column2" dataDxfId="1191"/>
    <tableColumn id="10" name="Column1" dataDxfId="1191"/>
    <tableColumn id="12" name="المسطح" totalsRowFunction="sum" dataDxfId="1199">
      <calculatedColumnFormula>(Table15880101112[[#This Row],[Column1]]+Table15880101112[[#This Row],[Column2]])*12*Table15880101112[[#This Row],[عدد]]</calculatedColumnFormula>
    </tableColumn>
    <tableColumn id="4" name="الوحده" dataDxfId="1191"/>
    <tableColumn id="5" name="الوزن" totalsRowFunction="custom">
      <totalsRowFormula>(BN76*BH76)+(BN77*BH77)+(BN78*BH78)+(BN79*BH79)</totalsRowFormula>
    </tableColumn>
    <tableColumn id="6" name="اجمالي المسطح" totalsRowFunction="sum" dataDxfId="1193">
      <calculatedColumnFormula>Table15880101112[[#This Row],[المسطح]]*Table15880101112[[#This Row],[عدد]]</calculatedColumnFormula>
    </tableColumn>
    <tableColumn id="7" name="سعر الشبك " dataDxfId="1219">
      <calculatedColumnFormula>BN76*$S$2/1000</calculatedColumnFormula>
    </tableColumn>
    <tableColumn id="8" name="اجمالي" totalsRowFunction="sum" dataDxfId="1196">
      <calculatedColumnFormula>BH76*BP76</calculatedColumnFormula>
    </tableColumn>
    <tableColumn id="9" name="%" totalsRowFunction="custom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191"/>
    <tableColumn id="2" name="عدد" dataDxfId="1071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53"/>
    <tableColumn id="11" name="Column2" dataDxfId="1202"/>
    <tableColumn id="10" name="Column1" dataDxfId="67"/>
    <tableColumn id="12" name="Column12" totalsRowFunction="sum" dataDxfId="952"/>
    <tableColumn id="4" name="الوحده" dataDxfId="951"/>
    <tableColumn id="5" name="الوزن" dataDxfId="950"/>
    <tableColumn id="6" name="سعر الكيلو" dataDxfId="1203"/>
    <tableColumn id="7" name="سعر الشبك " dataDxfId="64">
      <calculatedColumnFormula>Sheet2!B31</calculatedColumnFormula>
    </tableColumn>
    <tableColumn id="8" name="اجمالي" totalsRowFunction="sum" dataDxfId="1196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230" totalsRowDxfId="1232"/>
    <tableColumn id="2" name="عدد" totalsRowFunction="custom" totalsRowDxfId="1233">
      <totalsRowFormula>(Table80102113[[#Totals],[price]]*1.1)/(BA72*AY72/10000)</totalsRowFormula>
    </tableColumn>
    <tableColumn id="3" name="طول" dataDxfId="1230" totalsRowDxfId="1231"/>
    <tableColumn id="4" name="Column2" dataDxfId="1230" totalsRowDxfId="1231"/>
    <tableColumn id="5" name="wt/m" dataDxfId="1230" totalsRowDxfId="1231"/>
    <tableColumn id="6" name="price" totalsRowFunction="sum" dataDxfId="1230" totalsRowDxfId="1231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3" totalsRowCount="1" headerRowDxfId="14" dataDxfId="1" totalsRowDxfId="12">
  <autoFilter ref="A2:F22"/>
  <tableColumns count="6">
    <tableColumn id="1" name="Column1" totalsRowLabel="Total" dataDxfId="1234" totalsRowDxfId="1232"/>
    <tableColumn id="2" name="عدد" totalsRowFunction="custom" dataDxfId="1234" totalsRowDxfId="1233">
      <totalsRowFormula>(Table80102114[[#Totals],[price]]*1.1)/(F1*D1/10000)</totalsRowFormula>
    </tableColumn>
    <tableColumn id="3" name="طول" dataDxfId="1234" totalsRowDxfId="1231"/>
    <tableColumn id="4" name="Column2" dataDxfId="1234" totalsRowDxfId="1231"/>
    <tableColumn id="5" name="wt/m" dataDxfId="1234" totalsRowDxfId="1231"/>
    <tableColumn id="6" name="price" totalsRowFunction="sum" dataDxfId="1234" totalsRowDxfId="1231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6" totalsRowCount="1" headerRowDxfId="1235" dataDxfId="1234" totalsRowDxfId="1236">
  <autoFilter ref="A75:F95"/>
  <tableColumns count="6">
    <tableColumn id="1" name="Column1" totalsRowLabel="Total" dataDxfId="1234" totalsRowDxfId="1232"/>
    <tableColumn id="2" name="عدد" totalsRowFunction="custom" dataDxfId="1234" totalsRowDxfId="1233">
      <totalsRowFormula>(Table80102114115[[#Totals],[price]]*1.1)/(F74*D74/10000)</totalsRowFormula>
    </tableColumn>
    <tableColumn id="3" name="طول" dataDxfId="1234" totalsRowDxfId="1231"/>
    <tableColumn id="4" name="Column2" dataDxfId="1234" totalsRowDxfId="1231"/>
    <tableColumn id="5" name="wt/m" dataDxfId="1234" totalsRowDxfId="1231"/>
    <tableColumn id="6" name="price" totalsRowFunction="sum" dataDxfId="1234" totalsRowDxfId="1231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191"/>
    <tableColumn id="2" name="عدد" dataDxfId="1191">
      <calculatedColumnFormula>IF((F74="الاسكندرية"),0.25,0.1)</calculatedColumnFormula>
    </tableColumn>
    <tableColumn id="3" name="بيان برجولا رويال" totalsRowLabel="Total" dataDxfId="1191"/>
    <tableColumn id="12" name="Column12" totalsRowFunction="sum" dataDxfId="1199"/>
    <tableColumn id="5" name="Column1" dataDxfId="1191"/>
    <tableColumn id="11" name="العرض" dataDxfId="1202"/>
    <tableColumn id="10" name="الامتداد" dataDxfId="1193"/>
    <tableColumn id="4" name="سعر المتر" dataDxfId="1203"/>
    <tableColumn id="6" name="Column2" dataDxfId="80"/>
    <tableColumn id="7" name="سعر البرجولا كاملة" dataDxfId="1194">
      <calculatedColumnFormula>(K57)</calculatedColumnFormula>
    </tableColumn>
    <tableColumn id="8" name="اجمالي" totalsRowFunction="sum" dataDxfId="1196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191" totalsRowDxfId="1192"/>
    <tableColumn id="2" name="عدد" dataDxfId="51" totalsRowDxfId="1192">
      <calculatedColumnFormula>B60</calculatedColumnFormula>
    </tableColumn>
    <tableColumn id="3" name="بيان" totalsRowLabel="Total" dataDxfId="81" totalsRowDxfId="1192"/>
    <tableColumn id="5" name="اليومية / الاجرة" dataDxfId="1204" totalsRowDxfId="1192"/>
    <tableColumn id="6" name="بدل الوجبة" dataDxfId="1205" totalsRowDxfId="1192"/>
    <tableColumn id="11" name="موقع العمل" dataDxfId="1202" totalsRowDxfId="1192">
      <calculatedColumnFormula>تسعير!$T$4</calculatedColumnFormula>
    </tableColumn>
    <tableColumn id="10" name="شيفت العمل" dataDxfId="1191" totalsRowDxfId="1192"/>
    <tableColumn id="12" name="Column12" totalsRowFunction="sum" dataDxfId="1199" totalsRowDxfId="1200">
      <calculatedColumnFormula>SUMIF(Table17[Column1],Table1612[[#This Row],[موقع العمل]],$T$2:$T$20)</calculatedColumnFormula>
    </tableColumn>
    <tableColumn id="4" name="عدد الايام" dataDxfId="76" totalsRowDxfId="1192"/>
    <tableColumn id="7" name="اجمالي التكلفة للعامل" dataDxfId="75" totalsRowDxfId="1195">
      <calculatedColumnFormula>Table1612[[#This Row],[Column12]]</calculatedColumnFormula>
    </tableColumn>
    <tableColumn id="8" name="اجمالي" totalsRowFunction="sum" dataDxfId="1196" totalsRowDxfId="1197">
      <calculatedColumnFormula>B63*J63</calculatedColumnFormula>
    </tableColumn>
    <tableColumn id="9" name="%" totalsRowFunction="custom" totalsRowDxfId="1198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595"/>
    <tableColumn id="2" name="خارجي" dataDxfId="1206"/>
    <tableColumn id="3" name="داخلي" dataDxfId="1206"/>
    <tableColumn id="4" name="بدل الوجبة" dataDxfId="1206"/>
    <tableColumn id="5" name="دبابة" dataDxfId="1206"/>
    <tableColumn id="6" name="جامبو" dataDxfId="1206"/>
    <tableColumn id="7" name="الاقامة" dataDxfId="1206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202"/>
    <tableColumn id="4" name="Column22" dataDxfId="1202"/>
    <tableColumn id="5" name="Column23" dataDxfId="1202"/>
    <tableColumn id="3" name="Column3" dataDxfId="52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207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191"/>
    <tableColumn id="2" name="عدد" dataDxfId="119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191"/>
    <tableColumn id="11" name="Column2" dataDxfId="1191"/>
    <tableColumn id="10" name="Column1" dataDxfId="1191"/>
    <tableColumn id="12" name="المسطح" totalsRowFunction="sum" dataDxfId="1199">
      <calculatedColumnFormula>(Table118[[#This Row],[Column1]]+Table118[[#This Row],[Column2]])*12*Table118[[#This Row],[عدد]]</calculatedColumnFormula>
    </tableColumn>
    <tableColumn id="4" name="الوحده" dataDxfId="1191"/>
    <tableColumn id="5" name="الوزن" dataDxfId="1191"/>
    <tableColumn id="6" name="اجمالي الميزان" totalsRowFunction="sum" dataDxfId="1193">
      <calculatedColumnFormula>Table118[[#This Row],[الوزن]]*Table118[[#This Row],[عدد]]</calculatedColumnFormula>
    </tableColumn>
    <tableColumn id="7" name="سعر الشبك " dataDxfId="1194">
      <calculatedColumnFormula>H6*$H$2/1000</calculatedColumnFormula>
    </tableColumn>
    <tableColumn id="8" name="اجمالي" totalsRowFunction="sum" dataDxfId="1196">
      <calculatedColumnFormula>B6*J6</calculatedColumnFormula>
    </tableColumn>
    <tableColumn id="9" name="%" totalsRowFunction="custom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191"/>
    <tableColumn id="2" name="عدد" dataDxfId="1193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dataDxfId="1191"/>
    <tableColumn id="4" name="الوحده" totalsRowLabel="total" dataDxfId="1191"/>
    <tableColumn id="5" name="الوزن" dataDxfId="1193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191">
      <calculatedColumnFormula>Sheet2!B7</calculatedColumnFormula>
    </tableColumn>
    <tableColumn id="7" name="سعر الشبك " dataDxfId="1194"/>
    <tableColumn id="8" name="اجمالي" totalsRowFunction="sum" dataDxfId="1196">
      <calculatedColumnFormula>B36*Table1319[[#This Row],[سعر الكيلو]]</calculatedColumnFormula>
    </tableColumn>
    <tableColumn id="9" name="%" totalsRowFunction="custom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191"/>
    <tableColumn id="2" name="عدد" dataDxfId="1191">
      <calculatedColumnFormula>IF((تسعير!X30&lt;800),0,IF(AND((تسعير!X30&gt;800),(600&gt;=تسعير!AA32)),1,0))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totalsRowFunction="sum" dataDxfId="1193">
      <calculatedColumnFormula>(Table1421[[#This Row],[Column1]]+Table1421[[#This Row],[Column2]])*12*Table1421[[#This Row],[عدد]]</calculatedColumnFormula>
    </tableColumn>
    <tableColumn id="4" name="الوحده" dataDxfId="1191"/>
    <tableColumn id="5" name="الوزن" dataDxfId="1191"/>
    <tableColumn id="6" name="سعر الكيلو" totalsRowFunction="sum" dataDxfId="1193">
      <calculatedColumnFormula>Table1421[[#This Row],[الوزن]]*Table1421[[#This Row],[عدد]]</calculatedColumnFormula>
    </tableColumn>
    <tableColumn id="7" name="سعر الشبك " dataDxfId="1194">
      <calculatedColumnFormula>H13*$I$2/1000</calculatedColumnFormula>
    </tableColumn>
    <tableColumn id="8" name="اجمالي" totalsRowFunction="sum" dataDxfId="1196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191"/>
    <tableColumn id="2" name="عدد" dataDxfId="1193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dataDxfId="1199"/>
    <tableColumn id="4" name="الوحده" dataDxfId="1191"/>
    <tableColumn id="5" name="الوزن" dataDxfId="1191"/>
    <tableColumn id="6" name="سعر الكيلو" dataDxfId="1191"/>
    <tableColumn id="7" name="سعر الشبك " dataDxfId="1194">
      <calculatedColumnFormula>Sheet2!B22</calculatedColumnFormula>
    </tableColumn>
    <tableColumn id="8" name="اجمالي" totalsRowFunction="sum" dataDxfId="1196">
      <calculatedColumnFormula>B18*J18</calculatedColumnFormula>
    </tableColumn>
    <tableColumn id="9" name="%" totalsRowFunction="custom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191"/>
    <tableColumn id="2" name="عدد" totalsRowFunction="count" dataDxfId="1193">
      <calculatedColumnFormula>B30*4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totalsRowFunction="sum" dataDxfId="1199">
      <calculatedColumnFormula>(Table1624[[#This Row],[Column1]]*Table1624[[#This Row],[Column2]])*Table1624[[#This Row],[عدد]]</calculatedColumnFormula>
    </tableColumn>
    <tableColumn id="4" name="الوحده" dataDxfId="1191"/>
    <tableColumn id="5" name="الوزن" totalsRowFunction="custom">
      <totalsRowFormula>H31*B31+H32*B32</totalsRowFormula>
    </tableColumn>
    <tableColumn id="6" name="سعر الكيلو" dataDxfId="1193">
      <calculatedColumnFormula>$H$2/1000</calculatedColumnFormula>
    </tableColumn>
    <tableColumn id="7" name="سعر الشبك " dataDxfId="1194">
      <calculatedColumnFormula>H31*$H$2/1000</calculatedColumnFormula>
    </tableColumn>
    <tableColumn id="8" name="اجمالي" totalsRowFunction="sum" dataDxfId="1196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201"/>
    <tableColumn id="2" name="المعدل" dataDxfId="1201"/>
    <tableColumn id="3" name="الوحدة" dataDxfId="1201"/>
    <tableColumn id="4" name="Column4" dataDxfId="1208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191"/>
    <tableColumn id="2" name="عدد" dataDxfId="956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202"/>
    <tableColumn id="11" name="Column2" dataDxfId="1202"/>
    <tableColumn id="10" name="Column1" dataDxfId="1203"/>
    <tableColumn id="12" name="Column12" totalsRowFunction="sum" dataDxfId="1209"/>
    <tableColumn id="4" name="الوحده" dataDxfId="1210"/>
    <tableColumn id="5" name="الوزن" dataDxfId="1211"/>
    <tableColumn id="6" name="سعر الكيلو" dataDxfId="1203"/>
    <tableColumn id="7" name="سعر الشبك " dataDxfId="1212">
      <calculatedColumnFormula>Sheet2!B31</calculatedColumnFormula>
    </tableColumn>
    <tableColumn id="8" name="اجمالي" totalsRowFunction="sum" dataDxfId="1196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191"/>
    <tableColumn id="2" name="عدد" dataDxfId="1191">
      <calculatedColumnFormula>IF((F79="الاسكندرية"),0.25,0.1)</calculatedColumnFormula>
    </tableColumn>
    <tableColumn id="3" name="بيان برجولا رويال" totalsRowLabel="Total" dataDxfId="1191"/>
    <tableColumn id="12" name="Column12" totalsRowFunction="sum" dataDxfId="1199"/>
    <tableColumn id="5" name="Column1" dataDxfId="1191"/>
    <tableColumn id="11" name="العرض" dataDxfId="1202"/>
    <tableColumn id="10" name="الامتداد" dataDxfId="1193"/>
    <tableColumn id="4" name="سعر المتر" dataDxfId="1203"/>
    <tableColumn id="6" name="Column2" dataDxfId="1205"/>
    <tableColumn id="7" name="سعر البرجولا كاملة" dataDxfId="1194">
      <calculatedColumnFormula>K58</calculatedColumnFormula>
    </tableColumn>
    <tableColumn id="8" name="اجمالي" totalsRowFunction="sum" dataDxfId="1196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191" totalsRowDxfId="1192"/>
    <tableColumn id="2" name="عدد" dataDxfId="1207" totalsRowDxfId="1192">
      <calculatedColumnFormula>B65</calculatedColumnFormula>
    </tableColumn>
    <tableColumn id="3" name="بيان" totalsRowLabel="Total" dataDxfId="1204" totalsRowDxfId="1192"/>
    <tableColumn id="5" name="اليومية / الاجرة" dataDxfId="1204" totalsRowDxfId="1192"/>
    <tableColumn id="6" name="بدل الوجبة" dataDxfId="1205" totalsRowDxfId="1192"/>
    <tableColumn id="11" name="موقع العمل" dataDxfId="1202" totalsRowDxfId="1192">
      <calculatedColumnFormula>تسعير!$T$24</calculatedColumnFormula>
    </tableColumn>
    <tableColumn id="10" name="شيفت العمل" dataDxfId="1191" totalsRowDxfId="1192"/>
    <tableColumn id="12" name="Column12" totalsRowFunction="sum" dataDxfId="1199" totalsRowDxfId="1200">
      <calculatedColumnFormula>SUMIF(Table1731[Column1],Table161229[[#This Row],[موقع العمل]],$T$2:$T$26)</calculatedColumnFormula>
    </tableColumn>
    <tableColumn id="4" name="عدد الايام" dataDxfId="1213" totalsRowDxfId="1192"/>
    <tableColumn id="7" name="اجمالي التكلفة للعامل" dataDxfId="1214" totalsRowDxfId="1195">
      <calculatedColumnFormula>Table161229[[#This Row],[Column12]]</calculatedColumnFormula>
    </tableColumn>
    <tableColumn id="8" name="اجمالي" totalsRowFunction="sum" dataDxfId="1196" totalsRowDxfId="1197">
      <calculatedColumnFormula>B68*J68</calculatedColumnFormula>
    </tableColumn>
    <tableColumn id="9" name="%" totalsRowFunction="custom" totalsRowDxfId="1198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202" totalsRowDxfId="1192"/>
    <tableColumn id="2" name="عدد" dataDxfId="1207" totalsRowDxfId="1192">
      <calculatedColumnFormula>IF((تسعير!T25="جلفنة و جوتن"),(Table118[[#Totals],[اجمالي الميزان]]+Table1624[[#Totals],[الوزن]]+Table1421[[#Totals],[الوزن]]),0)</calculatedColumnFormula>
    </tableColumn>
    <tableColumn id="3" name="بيان" totalsRowLabel="Total" dataDxfId="1202" totalsRowDxfId="1192"/>
    <tableColumn id="11" name="Column2" dataDxfId="1202" totalsRowDxfId="1192"/>
    <tableColumn id="10" name="Column1" dataDxfId="1202" totalsRowDxfId="1192"/>
    <tableColumn id="12" name="Column12" totalsRowFunction="sum" dataDxfId="68" totalsRowDxfId="1200"/>
    <tableColumn id="4" name="الوحده" dataDxfId="1203" totalsRowDxfId="1192"/>
    <tableColumn id="5" name="الوزن" dataDxfId="1202" totalsRowDxfId="1192"/>
    <tableColumn id="6" name="سعر الكيلو" dataDxfId="1202" totalsRowDxfId="1192"/>
    <tableColumn id="7" name="سعر الشبك " dataDxfId="1212" totalsRowDxfId="1195"/>
    <tableColumn id="8" name="اجمالي" totalsRowFunction="sum" dataDxfId="1196" totalsRowDxfId="1197">
      <calculatedColumnFormula>B64*Table161330[[#This Row],[سعر الشبك ]]</calculatedColumnFormula>
    </tableColumn>
    <tableColumn id="9" name="%" totalsRowFunction="custom" totalsRowDxfId="890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1201"/>
    <tableColumn id="2" name="خارجي" dataDxfId="1201"/>
    <tableColumn id="3" name="داخلي" dataDxfId="1201"/>
    <tableColumn id="4" name="بدل الوجبة" dataDxfId="1201"/>
    <tableColumn id="5" name="دبابة" dataDxfId="1201"/>
    <tableColumn id="6" name="جامبو" dataDxfId="1201"/>
    <tableColumn id="7" name="الاقامة" dataDxfId="1201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202"/>
    <tableColumn id="4" name="Column22" dataDxfId="1202"/>
    <tableColumn id="5" name="Column23" dataDxfId="1202"/>
    <tableColumn id="3" name="Column3" dataDxfId="1215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207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1206" totalsRowDxfId="859"/>
    <tableColumn id="6" name="الطول بالمتر" dataDxfId="1206" totalsRowDxfId="1216"/>
    <tableColumn id="5" name="وزن المتر " dataDxfId="1206" totalsRowDxfId="1216"/>
    <tableColumn id="4" name="سعر الكيلو" dataDxfId="1206" totalsRowDxfId="1216"/>
    <tableColumn id="3" name="اجمالي عدد " totalsRowFunction="custom" totalsRowDxfId="1216">
      <totalsRowFormula>Table8[[#Totals],[اجمالي التكلفة]]/B1</totalsRowFormula>
    </tableColumn>
    <tableColumn id="2" name="اجمالي التكلفة" totalsRowFunction="sum" dataDxfId="745" totalsRowDxfId="867">
      <calculatedColumnFormula>B3*D3</calculatedColumnFormula>
    </tableColumn>
    <tableColumn id="9" name="Column1" dataDxfId="1206" totalsRowDxfId="1216"/>
    <tableColumn id="10" name="Column2" dataDxfId="1206" totalsRowDxfId="1216"/>
    <tableColumn id="11" name="Column3" dataDxfId="1206" totalsRowDxfId="1216"/>
    <tableColumn id="12" name="Column4" dataDxfId="1206" totalsRowDxfId="1216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191" totalsRowDxfId="1192"/>
    <tableColumn id="2" name="عدد" dataDxfId="1193" totalsRowDxfId="1192"/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Column12" dataDxfId="1191" totalsRowDxfId="1192"/>
    <tableColumn id="4" name="الوحده" totalsRowLabel="total" dataDxfId="1191" totalsRowDxfId="1192"/>
    <tableColumn id="5" name="الوزن" dataDxfId="1191" totalsRowDxfId="1192"/>
    <tableColumn id="6" name="سعر الكيلو" dataDxfId="1191" totalsRowDxfId="1192"/>
    <tableColumn id="7" name="سعر الشبك " dataDxfId="1194" totalsRowDxfId="1195">
      <calculatedColumnFormula>Sheet2!B2</calculatedColumnFormula>
    </tableColumn>
    <tableColumn id="8" name="اجمالي" totalsRowFunction="sum" dataDxfId="1196" totalsRowDxfId="1197">
      <calculatedColumnFormula>M26*U26</calculatedColumnFormula>
    </tableColumn>
    <tableColumn id="9" name="%" totalsRowFunction="custom" totalsRowDxfId="1198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54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191"/>
    <tableColumn id="2" name="عدد" dataDxfId="1193"/>
    <tableColumn id="3" name="بيان" totalsRowLabel="Total" dataDxfId="1191"/>
    <tableColumn id="11" name="Column2" dataDxfId="1191"/>
    <tableColumn id="10" name="Column1" dataDxfId="1191"/>
    <tableColumn id="12" name="Column12" dataDxfId="1199"/>
    <tableColumn id="4" name="الوحده" dataDxfId="1191"/>
    <tableColumn id="5" name="الوزن" dataDxfId="1191"/>
    <tableColumn id="6" name="سعر الكيلو" dataDxfId="1191"/>
    <tableColumn id="7" name="سعر الشبك " dataDxfId="1194">
      <calculatedColumnFormula>Sheet2!B24</calculatedColumnFormula>
    </tableColumn>
    <tableColumn id="8" name="اجمالي" totalsRowFunction="sum" dataDxfId="1196">
      <calculatedColumnFormula>M11*U11</calculatedColumnFormula>
    </tableColumn>
    <tableColumn id="9" name="%" totalsRowFunction="custom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191"/>
    <tableColumn id="2" name="عدد" totalsRowFunction="count" dataDxfId="1191">
      <calculatedColumnFormula>M20*4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totalsRowFunction="sum" dataDxfId="1199">
      <calculatedColumnFormula>(Table1662[[#This Row],[Column1]]*Table1662[[#This Row],[Column2]])*Table1662[[#This Row],[عدد]]</calculatedColumnFormula>
    </tableColumn>
    <tableColumn id="4" name="الوحده" dataDxfId="1191"/>
    <tableColumn id="5" name="الوزن" totalsRowFunction="custom">
      <totalsRowFormula>(S21*M21)+(M22*S22)</totalsRowFormula>
    </tableColumn>
    <tableColumn id="6" name="سعر الكيلو" dataDxfId="1193"/>
    <tableColumn id="7" name="سعر الشبك " dataDxfId="1194">
      <calculatedColumnFormula>S21*$S$2/1000</calculatedColumnFormula>
    </tableColumn>
    <tableColumn id="8" name="اجمالي" totalsRowFunction="sum" dataDxfId="1196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1201"/>
    <tableColumn id="2" name="المعدل" dataDxfId="1201"/>
    <tableColumn id="3" name="الوحدة" dataDxfId="1201"/>
    <tableColumn id="4" name="Column4" dataDxfId="1208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1201"/>
    <tableColumn id="2" name="Column2" dataDxfId="1208"/>
    <tableColumn id="3" name="Column3" dataDxfId="1201"/>
    <tableColumn id="4" name="Column4" dataDxfId="1201"/>
    <tableColumn id="5" name="Column5" dataDxfId="1201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191" totalsRowDxfId="1192"/>
    <tableColumn id="2" name="عدد" dataDxfId="1207" totalsRowDxfId="1192">
      <calculatedColumnFormula>IF((تسعير!$AU$14="بالتات"),0,M52-2)</calculatedColumnFormula>
    </tableColumn>
    <tableColumn id="3" name="بيان" totalsRowLabel="Total" dataDxfId="1204" totalsRowDxfId="1192"/>
    <tableColumn id="5" name="اليومية / الاجرة" dataDxfId="1204" totalsRowDxfId="1192"/>
    <tableColumn id="6" name="بدل الوجبة" dataDxfId="1205" totalsRowDxfId="1192"/>
    <tableColumn id="11" name="موقع العمل" dataDxfId="1202" totalsRowDxfId="1192">
      <calculatedColumnFormula>تسعير!$AT$4</calculatedColumnFormula>
    </tableColumn>
    <tableColumn id="10" name="شيفت العمل" dataDxfId="1191" totalsRowDxfId="1192"/>
    <tableColumn id="12" name="Column12" totalsRowFunction="sum" dataDxfId="1199" totalsRowDxfId="1200">
      <calculatedColumnFormula>SUMIF(Table1769[Column1],Table161267[[#This Row],[موقع العمل]],$AE$2:$AE$8)</calculatedColumnFormula>
    </tableColumn>
    <tableColumn id="4" name="عدد الايام" dataDxfId="1213" totalsRowDxfId="1192"/>
    <tableColumn id="7" name="اجمالي التكلفة للعامل" dataDxfId="1214" totalsRowDxfId="1195">
      <calculatedColumnFormula>Table161267[[#This Row],[Column12]]</calculatedColumnFormula>
    </tableColumn>
    <tableColumn id="8" name="اجمالي" totalsRowFunction="sum" dataDxfId="1196" totalsRowDxfId="1197">
      <calculatedColumnFormula>M55*U55</calculatedColumnFormula>
    </tableColumn>
    <tableColumn id="9" name="%" totalsRowFunction="custom" totalsRowDxfId="1198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202"/>
    <tableColumn id="2" name="عدد" dataDxfId="1207">
      <calculatedColumnFormula>IF((Q65="الاسكندرية"),0.25,0.1)</calculatedColumnFormula>
    </tableColumn>
    <tableColumn id="3" name="بيان" totalsRowLabel="Total" dataDxfId="1202"/>
    <tableColumn id="11" name="Column2" dataDxfId="1202"/>
    <tableColumn id="10" name="Column1" dataDxfId="1202"/>
    <tableColumn id="12" name="Column12" totalsRowFunction="sum" dataDxfId="1217"/>
    <tableColumn id="4" name="الوحده" dataDxfId="1203"/>
    <tableColumn id="5" name="الوزن" dataDxfId="1202"/>
    <tableColumn id="6" name="سعر الكيلو" dataDxfId="1202"/>
    <tableColumn id="7" name="سعر الشبك " dataDxfId="1212">
      <calculatedColumnFormula>V48</calculatedColumnFormula>
    </tableColumn>
    <tableColumn id="8" name="اجمالي" totalsRowFunction="sum" dataDxfId="1196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1201"/>
    <tableColumn id="2" name="خارجي" dataDxfId="1201"/>
    <tableColumn id="3" name="داخلي" dataDxfId="1201"/>
    <tableColumn id="4" name="بدل الوجبة" dataDxfId="1201"/>
    <tableColumn id="5" name="دبابة" dataDxfId="1201"/>
    <tableColumn id="6" name="جامبو" dataDxfId="1201"/>
    <tableColumn id="7" name="الاقامة" dataDxfId="1201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202"/>
    <tableColumn id="4" name="Column22" dataDxfId="1202"/>
    <tableColumn id="5" name="Column23" dataDxfId="1202"/>
    <tableColumn id="3" name="Column3" dataDxfId="1215">
      <calculatedColumnFormula>IF((Q66="المقطم"),0.3,IF((Q66="التجمع"),0.3,IF((Q66="الشيخ زايد"),0.3,IF((Q66="الاسكندرية"),0.5,0.35))))</calculatedColumnFormula>
    </tableColumn>
    <tableColumn id="2" name="Column2" dataDxfId="1207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191"/>
    <tableColumn id="2" name="عدد" dataDxfId="1191">
      <calculatedColumnFormula>IF((N2="A1"),2,IF((N2="A2"),3,IF((N2="B1"),2.5,IF((N2="B2"),3,0))))</calculatedColumnFormula>
    </tableColumn>
    <tableColumn id="3" name="بيان" totalsRowLabel="Total" dataDxfId="1191"/>
    <tableColumn id="11" name="Column2" dataDxfId="1191"/>
    <tableColumn id="10" name="Column1" dataDxfId="1191"/>
    <tableColumn id="12" name="المسطح" totalsRowFunction="sum" dataDxfId="1199">
      <calculatedColumnFormula>(Table158[[#This Row],[Column1]]+Table158[[#This Row],[Column2]])*12*Table158[[#This Row],[عدد]]</calculatedColumnFormula>
    </tableColumn>
    <tableColumn id="4" name="الوحده" dataDxfId="1191"/>
    <tableColumn id="5" name="الوزن" totalsRowFunction="custom">
      <totalsRowFormula>(S7*M7)</totalsRowFormula>
    </tableColumn>
    <tableColumn id="6" name="سعر الكيلو" totalsRowFunction="sum" dataDxfId="1193">
      <calculatedColumnFormula>Table158[[#This Row],[المسطح]]*Table158[[#This Row],[عدد]]</calculatedColumnFormula>
    </tableColumn>
    <tableColumn id="7" name="سعر الشبك " dataDxfId="42">
      <calculatedColumnFormula>S6*$S$2/1000</calculatedColumnFormula>
    </tableColumn>
    <tableColumn id="8" name="اجمالي" totalsRowFunction="sum" dataDxfId="1196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1206"/>
    <tableColumn id="6" name="الطول بالمتر" dataDxfId="1206"/>
    <tableColumn id="5" name="وزن المتر " dataDxfId="1206"/>
    <tableColumn id="4" name="سعر الكيلو" dataDxfId="1206"/>
    <tableColumn id="3" name="اجمالي عدد " totalsRowFunction="custom">
      <totalsRowFormula>Table823[[#Totals],[اجمالي التكلفة]]/B1</totalsRowFormula>
    </tableColumn>
    <tableColumn id="2" name="اجمالي التكلفة" totalsRowFunction="sum" dataDxfId="1218"/>
    <tableColumn id="9" name="Column1" dataDxfId="1206"/>
    <tableColumn id="10" name="Column2" dataDxfId="1206"/>
    <tableColumn id="11" name="Column3" dataDxfId="1206"/>
    <tableColumn id="12" name="Column4" dataDxfId="1206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8">
  <autoFilter ref="A11:B58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191" totalsRowDxfId="1192"/>
    <tableColumn id="2" name="عدد" dataDxfId="1193" totalsRowDxfId="1192"/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Column12" dataDxfId="1191" totalsRowDxfId="1192"/>
    <tableColumn id="4" name="الوحده" totalsRowLabel="total" dataDxfId="1191" totalsRowDxfId="1192"/>
    <tableColumn id="5" name="الوزن" dataDxfId="1191" totalsRowDxfId="1192"/>
    <tableColumn id="6" name="سعر الكيلو" dataDxfId="1191" totalsRowDxfId="1192"/>
    <tableColumn id="7" name="سعر الشبك " dataDxfId="1194" totalsRowDxfId="1195">
      <calculatedColumnFormula>Sheet2!B2</calculatedColumnFormula>
    </tableColumn>
    <tableColumn id="8" name="اجمالي" totalsRowFunction="sum" dataDxfId="1196" totalsRowDxfId="1197">
      <calculatedColumnFormula>M26*U26</calculatedColumnFormula>
    </tableColumn>
    <tableColumn id="9" name="%" totalsRowFunction="custom" totalsRowDxfId="1198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191"/>
    <tableColumn id="2" name="عدد" dataDxfId="1193"/>
    <tableColumn id="3" name="بيان" totalsRowLabel="Total" dataDxfId="1191"/>
    <tableColumn id="11" name="Column2" dataDxfId="1191"/>
    <tableColumn id="10" name="Column1" dataDxfId="1191"/>
    <tableColumn id="12" name="Column12" dataDxfId="1199"/>
    <tableColumn id="4" name="الوحده" dataDxfId="1191"/>
    <tableColumn id="5" name="الوزن" dataDxfId="1191"/>
    <tableColumn id="6" name="سعر الكيلو" dataDxfId="1191"/>
    <tableColumn id="7" name="سعر الشبك " dataDxfId="1194">
      <calculatedColumnFormula>Sheet2!B24</calculatedColumnFormula>
    </tableColumn>
    <tableColumn id="8" name="اجمالي" totalsRowFunction="sum" dataDxfId="1196">
      <calculatedColumnFormula>M11*U11</calculatedColumnFormula>
    </tableColumn>
    <tableColumn id="9" name="%" totalsRowFunction="custom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191"/>
    <tableColumn id="2" name="عدد" totalsRowFunction="count" dataDxfId="1191">
      <calculatedColumnFormula>M20*4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totalsRowFunction="sum" dataDxfId="1199">
      <calculatedColumnFormula>(Table166241[[#This Row],[Column1]]*Table166241[[#This Row],[Column2]])*Table166241[[#This Row],[عدد]]</calculatedColumnFormula>
    </tableColumn>
    <tableColumn id="4" name="الوحده" dataDxfId="1191"/>
    <tableColumn id="5" name="الوزن" totalsRowFunction="custom">
      <totalsRowFormula>(S21*M21)+(M22*S22)</totalsRowFormula>
    </tableColumn>
    <tableColumn id="6" name="سعر الكيلو" dataDxfId="1193"/>
    <tableColumn id="7" name="سعر الشبك " dataDxfId="1194">
      <calculatedColumnFormula>S21*$S$2/1000</calculatedColumnFormula>
    </tableColumn>
    <tableColumn id="8" name="اجمالي" totalsRowFunction="sum" dataDxfId="1196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1201"/>
    <tableColumn id="2" name="المعدل" dataDxfId="1201"/>
    <tableColumn id="3" name="الوحدة" dataDxfId="1201"/>
    <tableColumn id="4" name="Column4" dataDxfId="1208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191" totalsRowDxfId="1192"/>
    <tableColumn id="2" name="عدد" dataDxfId="1207" totalsRowDxfId="1192">
      <calculatedColumnFormula>IF((تسعير!$BF$14="بالتات"),0,M52-2)</calculatedColumnFormula>
    </tableColumn>
    <tableColumn id="3" name="بيان" totalsRowLabel="Total" dataDxfId="1204" totalsRowDxfId="1192"/>
    <tableColumn id="5" name="اليومية / الاجرة" dataDxfId="1204" totalsRowDxfId="1192"/>
    <tableColumn id="6" name="بدل الوجبة" dataDxfId="1205" totalsRowDxfId="1192"/>
    <tableColumn id="11" name="موقع العمل" dataDxfId="1202" totalsRowDxfId="1192">
      <calculatedColumnFormula>تسعير!$BE$4</calculatedColumnFormula>
    </tableColumn>
    <tableColumn id="10" name="شيفت العمل" dataDxfId="1191" totalsRowDxfId="1192"/>
    <tableColumn id="12" name="Column12" totalsRowFunction="sum" dataDxfId="1199" totalsRowDxfId="1200"/>
    <tableColumn id="4" name="عدد الايام" dataDxfId="1213" totalsRowDxfId="1192"/>
    <tableColumn id="7" name="اجمالي التكلفة للعامل" dataDxfId="1214" totalsRowDxfId="1195">
      <calculatedColumnFormula>Table16126744[[#This Row],[Column12]]</calculatedColumnFormula>
    </tableColumn>
    <tableColumn id="8" name="اجمالي" totalsRowFunction="sum" dataDxfId="1196" totalsRowDxfId="1197">
      <calculatedColumnFormula>M55*U55</calculatedColumnFormula>
    </tableColumn>
    <tableColumn id="9" name="%" totalsRowFunction="custom" totalsRowDxfId="1198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202"/>
    <tableColumn id="2" name="عدد" dataDxfId="1207">
      <calculatedColumnFormula>IF((Q65="الاسكندرية"),0.25,0.1)</calculatedColumnFormula>
    </tableColumn>
    <tableColumn id="3" name="بيان" totalsRowLabel="Total" dataDxfId="1202"/>
    <tableColumn id="11" name="Column2" dataDxfId="1202"/>
    <tableColumn id="10" name="Column1" dataDxfId="1202"/>
    <tableColumn id="12" name="Column12" totalsRowFunction="sum" dataDxfId="1217"/>
    <tableColumn id="4" name="الوحده" dataDxfId="1203"/>
    <tableColumn id="5" name="الوزن" dataDxfId="1202"/>
    <tableColumn id="6" name="سعر الكيلو" dataDxfId="1202"/>
    <tableColumn id="7" name="سعر الشبك " dataDxfId="1212">
      <calculatedColumnFormula>V48</calculatedColumnFormula>
    </tableColumn>
    <tableColumn id="8" name="اجمالي" totalsRowFunction="sum" dataDxfId="1196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1206"/>
    <tableColumn id="2" name="خارجي" dataDxfId="1206"/>
    <tableColumn id="3" name="داخلي" dataDxfId="1206"/>
    <tableColumn id="4" name="بدل الوجبة" dataDxfId="1206"/>
    <tableColumn id="5" name="دبابة" dataDxfId="1206"/>
    <tableColumn id="6" name="جامبو" dataDxfId="1206"/>
    <tableColumn id="7" name="الاقامة" dataDxfId="1206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202"/>
    <tableColumn id="4" name="Column22" dataDxfId="1202"/>
    <tableColumn id="5" name="Column23" dataDxfId="1202"/>
    <tableColumn id="3" name="Column3" dataDxfId="1215">
      <calculatedColumnFormula>IF((Q66="المقطم"),0.3,IF((Q66="التجمع"),0.3,IF((Q66="الشيخ زايد"),0.3,IF((Q66="الاسكندرية"),0.5,0.35))))</calculatedColumnFormula>
    </tableColumn>
    <tableColumn id="2" name="Column2" dataDxfId="1207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191"/>
    <tableColumn id="2" name="عدد" dataDxfId="1191">
      <calculatedColumnFormula>IF((N2="c1"),3,IF((N2="c2"),4,IF((N2="d1"),4,IF((N2="d2"),5,0))))</calculatedColumnFormula>
    </tableColumn>
    <tableColumn id="3" name="بيان" totalsRowLabel="Total" dataDxfId="1191"/>
    <tableColumn id="11" name="Column2" dataDxfId="1191"/>
    <tableColumn id="10" name="Column1" dataDxfId="1191"/>
    <tableColumn id="12" name="المسطح" totalsRowFunction="sum" dataDxfId="1199">
      <calculatedColumnFormula>(Table15855[[#This Row],[Column1]]+Table15855[[#This Row],[Column2]])*12*Table15855[[#This Row],[عدد]]</calculatedColumnFormula>
    </tableColumn>
    <tableColumn id="4" name="الوحده" dataDxfId="1191"/>
    <tableColumn id="5" name="الوزن" totalsRowFunction="custom">
      <totalsRowFormula>(S7*M7)</totalsRowFormula>
    </tableColumn>
    <tableColumn id="6" name="سعر الكيلو" dataDxfId="1193"/>
    <tableColumn id="7" name="سعر الشبك " dataDxfId="1219">
      <calculatedColumnFormula>S6*$S$2/1000</calculatedColumnFormula>
    </tableColumn>
    <tableColumn id="8" name="اجمالي" totalsRowFunction="sum" dataDxfId="1196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0" totalsRowShown="0">
  <autoFilter ref="A2:C10"/>
  <tableColumns count="3">
    <tableColumn id="1" name="شكل" dataDxfId="1206"/>
    <tableColumn id="2" name="المقاس" dataDxfId="1206"/>
    <tableColumn id="4" name="ميزان" dataDxfId="611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44" totalsRowDxfId="109"/>
    <tableColumn id="2" name="عدد" dataDxfId="1191" totalsRowDxfId="1192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المسطح" totalsRowFunction="sum" dataDxfId="45" totalsRowDxfId="115">
      <calculatedColumnFormula>(Table1[[#This Row],[Column1]]+Table1[[#This Row],[Column2]])*12*Table1[[#This Row],[عدد]]</calculatedColumnFormula>
    </tableColumn>
    <tableColumn id="4" name="الوحده" dataDxfId="1191" totalsRowDxfId="1192"/>
    <tableColumn id="5" name="الوزن" totalsRowFunction="custom" totalsRowDxfId="1192">
      <totalsRowFormula>(H6*B6)+(H8*B8)+(H7*B7)</totalsRowFormula>
    </tableColumn>
    <tableColumn id="6" name="مسطح" dataDxfId="43" totalsRowDxfId="1192"/>
    <tableColumn id="7" name="سعر الشبك " dataDxfId="95" totalsRowDxfId="107">
      <calculatedColumnFormula>H6*$H$2/1000</calculatedColumnFormula>
    </tableColumn>
    <tableColumn id="8" name="اجمالي" totalsRowFunction="sum" dataDxfId="41" totalsRowDxfId="105">
      <calculatedColumnFormula>B6*J6</calculatedColumnFormula>
    </tableColumn>
    <tableColumn id="9" name="%" totalsRowFunction="custom" totalsRowDxfId="104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610"/>
    <tableColumn id="2" name="Column2" dataDxfId="1206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1206" totalsRowDxfId="630"/>
    <tableColumn id="2" name="عدد/الشمسية" dataDxfId="606" totalsRowDxfId="626"/>
    <tableColumn id="3" name="سعر الوحدة" dataDxfId="1206" totalsRowDxfId="1220"/>
    <tableColumn id="4" name="قيمة" totalsRowFunction="sum" dataDxfId="1206" totalsRowDxfId="624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3" totalsRowShown="0">
  <autoFilter ref="H15:K23"/>
  <tableColumns count="4">
    <tableColumn id="1" name="المقاس" dataDxfId="1206"/>
    <tableColumn id="2" name="امتار عادية" dataDxfId="1206"/>
    <tableColumn id="4" name="امتار single" dataDxfId="1206"/>
    <tableColumn id="6" name="امتار douple" dataDxfId="1206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1206"/>
    <tableColumn id="2" name="Column2" dataDxfId="1206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613"/>
    <tableColumn id="2" name="الناتج" dataDxfId="614"/>
    <tableColumn id="3" name="Column1" dataDxfId="1221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612"/>
    <tableColumn id="4" name="ميزان" dataDxfId="1222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223"/>
    <tableColumn id="2" name="Column2" dataDxfId="1206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1206" totalsRowDxfId="1200"/>
    <tableColumn id="2" name="عدد/الشمسية" dataDxfId="1224" totalsRowDxfId="1200"/>
    <tableColumn id="3" name="سعر الوحدة" dataDxfId="1206" totalsRowDxfId="1200"/>
    <tableColumn id="4" name="قيمة" totalsRowFunction="sum" dataDxfId="1206" totalsRowDxfId="1200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1206"/>
    <tableColumn id="2" name="امتار عادية" dataDxfId="1206"/>
    <tableColumn id="4" name="امتار single" dataDxfId="1206"/>
    <tableColumn id="6" name="امتار douple" dataDxfId="1206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191" totalsRowDxfId="1192"/>
    <tableColumn id="2" name="عدد" dataDxfId="1193" totalsRowDxfId="1192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Column12" dataDxfId="1191" totalsRowDxfId="1192"/>
    <tableColumn id="4" name="الوحده" totalsRowLabel="total" dataDxfId="1191" totalsRowDxfId="1192"/>
    <tableColumn id="5" name="الوزن" dataDxfId="1191" totalsRowDxfId="1192"/>
    <tableColumn id="6" name="سعر الكيلو" dataDxfId="1191" totalsRowDxfId="1192"/>
    <tableColumn id="7" name="سعر الشبك " dataDxfId="1194" totalsRowDxfId="1195">
      <calculatedColumnFormula>Sheet2!B8</calculatedColumnFormula>
    </tableColumn>
    <tableColumn id="8" name="اجمالي" totalsRowFunction="sum" dataDxfId="1196" totalsRowDxfId="1197">
      <calculatedColumnFormula>B35*J35</calculatedColumnFormula>
    </tableColumn>
    <tableColumn id="9" name="%" totalsRowFunction="custom" totalsRowDxfId="1198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1206"/>
    <tableColumn id="2" name="Column2" dataDxfId="1206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590"/>
    <tableColumn id="2" name="Column2" dataDxfId="1225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1225"/>
    <tableColumn id="2" name="الناتج" dataDxfId="591"/>
    <tableColumn id="3" name="Column1" dataDxfId="1225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550" totalsRowDxfId="549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226">
      <calculatedColumnFormula>Table12[[#This Row],[سعر]]*Table12[[#This Row],[ميزان]]*Table12[[#This Row],[عدد]]</calculatedColumnFormula>
    </tableColumn>
    <tableColumn id="6" name="Column6" totalsRowFunction="custom" totalsRowDxfId="1226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207" totalsRowDxfId="1192">
      <calculatedColumnFormula>I28</calculatedColumnFormula>
    </tableColumn>
    <tableColumn id="3" name="بيان" totalsRowLabel="Total" dataDxfId="535" totalsRowDxfId="1192"/>
    <tableColumn id="5" name="اليومية / الاجرة" dataDxfId="1204" totalsRowDxfId="1192"/>
    <tableColumn id="6" name="بدل الوجبة" dataDxfId="1205" totalsRowDxfId="1192"/>
    <tableColumn id="11" name="موقع العمل" dataDxfId="1202" totalsRowDxfId="1192">
      <calculatedColumnFormula>تسعير!$T$45</calculatedColumnFormula>
    </tableColumn>
    <tableColumn id="10" name="شيفت العمل" dataDxfId="1191" totalsRowDxfId="1192"/>
    <tableColumn id="12" name="Column12" totalsRowFunction="sum" dataDxfId="1199" totalsRowDxfId="1200">
      <calculatedColumnFormula>SUMIF(Table17[Column1],Table161243[[#This Row],[موقع العمل]],Table17[الاقامة])</calculatedColumnFormula>
    </tableColumn>
    <tableColumn id="4" name="عدد الايام" dataDxfId="1213" totalsRowDxfId="1192"/>
    <tableColumn id="7" name="اجمالي التكلفة للعامل" dataDxfId="1214" totalsRowDxfId="1195">
      <calculatedColumnFormula>Table161243[[#This Row],[Column12]]</calculatedColumnFormula>
    </tableColumn>
    <tableColumn id="8" name="اجمالي" totalsRowFunction="sum" dataDxfId="1196" totalsRowDxfId="1197">
      <calculatedColumnFormula>I31*Q31</calculatedColumnFormula>
    </tableColumn>
    <tableColumn id="9" name="%" totalsRowFunction="custom" totalsRowDxfId="1198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202"/>
    <tableColumn id="4" name="Column22" dataDxfId="1202"/>
    <tableColumn id="5" name="Column23" dataDxfId="1202"/>
    <tableColumn id="3" name="Column3" dataDxfId="1215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207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1227" totalsRowDxfId="1228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226">
      <calculatedColumnFormula>Table1257[[#This Row],[سعر]]*Table1257[[#This Row],[ميزان]]*Table1257[[#This Row],[عدد]]</calculatedColumnFormula>
    </tableColumn>
    <tableColumn id="6" name="Column6" totalsRowFunction="custom" totalsRowDxfId="1226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207" totalsRowDxfId="1192">
      <calculatedColumnFormula>I61</calculatedColumnFormula>
    </tableColumn>
    <tableColumn id="3" name="بيان" totalsRowLabel="Total" dataDxfId="1229" totalsRowDxfId="1192"/>
    <tableColumn id="5" name="اليومية / الاجرة" dataDxfId="1204" totalsRowDxfId="1192"/>
    <tableColumn id="6" name="بدل الوجبة" dataDxfId="1205" totalsRowDxfId="1192"/>
    <tableColumn id="11" name="موقع العمل" dataDxfId="1202" totalsRowDxfId="1192">
      <calculatedColumnFormula>تسعير!$T$63</calculatedColumnFormula>
    </tableColumn>
    <tableColumn id="10" name="شيفت العمل" dataDxfId="1191" totalsRowDxfId="1192"/>
    <tableColumn id="12" name="Column12" totalsRowFunction="sum" dataDxfId="1199" totalsRowDxfId="1200">
      <calculatedColumnFormula>SUMIF(Table17[Column1],Table16124360[[#This Row],[موقع العمل]],Table17[الاقامة])</calculatedColumnFormula>
    </tableColumn>
    <tableColumn id="4" name="عدد الايام" dataDxfId="1213" totalsRowDxfId="1192"/>
    <tableColumn id="7" name="اجمالي التكلفة للعامل" dataDxfId="1214" totalsRowDxfId="1195">
      <calculatedColumnFormula>Table16124360[[#This Row],[Column12]]</calculatedColumnFormula>
    </tableColumn>
    <tableColumn id="8" name="اجمالي" totalsRowFunction="sum" dataDxfId="1196" totalsRowDxfId="1197">
      <calculatedColumnFormula>I64*Q64</calculatedColumnFormula>
    </tableColumn>
    <tableColumn id="9" name="%" totalsRowFunction="custom" totalsRowDxfId="1198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202"/>
    <tableColumn id="4" name="Column22" dataDxfId="1202"/>
    <tableColumn id="5" name="Column23" dataDxfId="1202"/>
    <tableColumn id="3" name="Column3" dataDxfId="1215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207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191" totalsRowDxfId="1192"/>
    <tableColumn id="2" name="عدد" dataDxfId="1193" totalsRowDxfId="1192"/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Column12" dataDxfId="1191" totalsRowDxfId="1192"/>
    <tableColumn id="4" name="الوحده" totalsRowLabel="total" dataDxfId="1191" totalsRowDxfId="1192"/>
    <tableColumn id="5" name="الوزن" dataDxfId="1191" totalsRowDxfId="1192"/>
    <tableColumn id="6" name="سعر الكيلو" dataDxfId="1191" totalsRowDxfId="1192"/>
    <tableColumn id="7" name="سعر الشبك " dataDxfId="1194" totalsRowDxfId="1195">
      <calculatedColumnFormula>Sheet2!B6</calculatedColumnFormula>
    </tableColumn>
    <tableColumn id="8" name="اجمالي" totalsRowFunction="sum" dataDxfId="1196" totalsRowDxfId="1197">
      <calculatedColumnFormula>M28*U28</calculatedColumnFormula>
    </tableColumn>
    <tableColumn id="9" name="%" totalsRowFunction="custom" totalsRowDxfId="1198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191"/>
    <tableColumn id="2" name="عدد" dataDxfId="1191">
      <calculatedColumnFormula>IF((تسعير!X7&lt;800),0,IF(AND((تسعير!X7&gt;800),(600&gt;=تسعير!AA9)),1,0))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totalsRowFunction="sum" dataDxfId="1193">
      <calculatedColumnFormula>(Table14[[#This Row],[Column1]]+Table14[[#This Row],[Column2]])*12*Table14[[#This Row],[عدد]]</calculatedColumnFormula>
    </tableColumn>
    <tableColumn id="4" name="الوحده" dataDxfId="1191"/>
    <tableColumn id="5" name="الوزن" totalsRowFunction="custom">
      <totalsRowFormula>H12*B12+H13*B13</totalsRowFormula>
    </tableColumn>
    <tableColumn id="6" name="مسطح" dataDxfId="1193">
      <calculatedColumnFormula>Table14[[#This Row],[Column12]]*Table14[[#This Row],[عدد]]</calculatedColumnFormula>
    </tableColumn>
    <tableColumn id="7" name="سعر الشبك " dataDxfId="1194">
      <calculatedColumnFormula>H12*$I$2/1000</calculatedColumnFormula>
    </tableColumn>
    <tableColumn id="8" name="اجمالي" totalsRowFunction="sum" dataDxfId="1196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191"/>
    <tableColumn id="2" name="عدد" dataDxfId="1193"/>
    <tableColumn id="3" name="بيان" totalsRowLabel="Total" dataDxfId="1191"/>
    <tableColumn id="11" name="Column2" dataDxfId="1191"/>
    <tableColumn id="10" name="Column1" dataDxfId="1191"/>
    <tableColumn id="12" name="Column12" dataDxfId="1199"/>
    <tableColumn id="4" name="الوحده" dataDxfId="1191"/>
    <tableColumn id="5" name="الوزن" dataDxfId="1191"/>
    <tableColumn id="6" name="سعر الكيلو" dataDxfId="1191"/>
    <tableColumn id="7" name="سعر الشبك " dataDxfId="1194">
      <calculatedColumnFormula>Sheet2!B26</calculatedColumnFormula>
    </tableColumn>
    <tableColumn id="8" name="اجمالي" totalsRowFunction="sum" dataDxfId="1196">
      <calculatedColumnFormula>M14*U14</calculatedColumnFormula>
    </tableColumn>
    <tableColumn id="9" name="%" totalsRowFunction="custom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191"/>
    <tableColumn id="2" name="عدد" totalsRowFunction="count" dataDxfId="1191">
      <calculatedColumnFormula>M20*4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totalsRowFunction="sum" dataDxfId="1199">
      <calculatedColumnFormula>(Table166273[[#This Row],[Column1]]*Table166273[[#This Row],[Column2]])*Table166273[[#This Row],[عدد]]</calculatedColumnFormula>
    </tableColumn>
    <tableColumn id="4" name="الوحده" dataDxfId="1191"/>
    <tableColumn id="5" name="الوزن" totalsRowFunction="custom">
      <totalsRowFormula>(S23*M23)+(M24*S24)</totalsRowFormula>
    </tableColumn>
    <tableColumn id="6" name="سعر الكيلو" dataDxfId="1193"/>
    <tableColumn id="7" name="سعر الشبك " dataDxfId="1194">
      <calculatedColumnFormula>S22*$S$2/1000</calculatedColumnFormula>
    </tableColumn>
    <tableColumn id="8" name="اجمالي" totalsRowFunction="sum" dataDxfId="1196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1201"/>
    <tableColumn id="2" name="المعدل" dataDxfId="1201"/>
    <tableColumn id="3" name="الوحدة" dataDxfId="1201"/>
    <tableColumn id="4" name="Column4" dataDxfId="1208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1201"/>
    <tableColumn id="2" name="Column2" dataDxfId="1208"/>
    <tableColumn id="3" name="Column3" dataDxfId="1201"/>
    <tableColumn id="4" name="Column4" dataDxfId="1201"/>
    <tableColumn id="5" name="Column5" dataDxfId="1201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191" totalsRowDxfId="1192"/>
    <tableColumn id="2" name="عدد" dataDxfId="1207" totalsRowDxfId="1192">
      <calculatedColumnFormula>IF((تسعير!$AU$14="بالتات"),0,M49-2)</calculatedColumnFormula>
    </tableColumn>
    <tableColumn id="3" name="بيان" totalsRowLabel="Total" dataDxfId="1204" totalsRowDxfId="1192"/>
    <tableColumn id="5" name="اليومية / الاجرة" dataDxfId="1204" totalsRowDxfId="1192"/>
    <tableColumn id="6" name="بدل الوجبة" dataDxfId="1205" totalsRowDxfId="1192"/>
    <tableColumn id="11" name="موقع العمل" dataDxfId="1202" totalsRowDxfId="1192">
      <calculatedColumnFormula>تسعير!$AT$24</calculatedColumnFormula>
    </tableColumn>
    <tableColumn id="10" name="شيفت العمل" dataDxfId="1191" totalsRowDxfId="1192"/>
    <tableColumn id="12" name="Column12" totalsRowFunction="sum" dataDxfId="1199" totalsRowDxfId="1200">
      <calculatedColumnFormula>SUMIF(Table176978[Column1],Table16126776[[#This Row],[موقع العمل]],$AE$2:$AE$8)</calculatedColumnFormula>
    </tableColumn>
    <tableColumn id="4" name="عدد الايام" dataDxfId="1213" totalsRowDxfId="1192"/>
    <tableColumn id="7" name="اجمالي التكلفة للعامل" dataDxfId="1214" totalsRowDxfId="1195">
      <calculatedColumnFormula>Table16126776[[#This Row],[Column12]]</calculatedColumnFormula>
    </tableColumn>
    <tableColumn id="8" name="اجمالي" totalsRowFunction="sum" dataDxfId="1196" totalsRowDxfId="1197">
      <calculatedColumnFormula>M52*U52</calculatedColumnFormula>
    </tableColumn>
    <tableColumn id="9" name="%" totalsRowFunction="custom" totalsRowDxfId="1198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202" totalsRowDxfId="1192"/>
    <tableColumn id="2" name="عدد" dataDxfId="1207" totalsRowDxfId="1192">
      <calculatedColumnFormula>IF((Q63="الاسكندرية"),0.25,0.1)</calculatedColumnFormula>
    </tableColumn>
    <tableColumn id="3" name="بيان" totalsRowLabel="Total" dataDxfId="1202" totalsRowDxfId="1192"/>
    <tableColumn id="11" name="Column2" dataDxfId="1202" totalsRowDxfId="1192"/>
    <tableColumn id="10" name="Column1" dataDxfId="1202" totalsRowDxfId="1192"/>
    <tableColumn id="12" name="Column12" totalsRowFunction="sum" dataDxfId="1217" totalsRowDxfId="1200"/>
    <tableColumn id="4" name="الوحده" dataDxfId="1203" totalsRowDxfId="1192"/>
    <tableColumn id="5" name="الوزن" dataDxfId="1202" totalsRowDxfId="1192"/>
    <tableColumn id="6" name="سعر الكيلو" dataDxfId="1202" totalsRowDxfId="1192"/>
    <tableColumn id="7" name="سعر الشبك " dataDxfId="1212" totalsRowDxfId="1195">
      <calculatedColumnFormula>Table80102114[[#Totals],[price]]</calculatedColumnFormula>
    </tableColumn>
    <tableColumn id="8" name="اجمالي" totalsRowFunction="sum" dataDxfId="1196" totalsRowDxfId="1197">
      <calculatedColumnFormula>M47*Table16136877[[#This Row],[سعر الشبك ]]</calculatedColumnFormula>
    </tableColumn>
    <tableColumn id="9" name="%" totalsRowFunction="custom" totalsRowDxfId="1198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1201"/>
    <tableColumn id="2" name="خارجي" dataDxfId="1201"/>
    <tableColumn id="3" name="داخلي" dataDxfId="1201"/>
    <tableColumn id="4" name="بدل الوجبة" dataDxfId="1201"/>
    <tableColumn id="5" name="دبابة" dataDxfId="1201"/>
    <tableColumn id="6" name="جامبو" dataDxfId="1201"/>
    <tableColumn id="7" name="الاقامة" dataDxfId="1201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202"/>
    <tableColumn id="4" name="Column22" dataDxfId="1202"/>
    <tableColumn id="5" name="Column23" dataDxfId="1202"/>
    <tableColumn id="3" name="Column3" dataDxfId="1215">
      <calculatedColumnFormula>IF((Q63="المقطم"),0.3,IF((Q63="التجمع"),0.3,IF((Q63="الشيخ زايد"),0.3,IF((Q63="الاسكندرية"),0.5,0.35))))</calculatedColumnFormula>
    </tableColumn>
    <tableColumn id="2" name="Column2" dataDxfId="1207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191"/>
    <tableColumn id="2" name="عدد" dataDxfId="1191"/>
    <tableColumn id="3" name="بيان" totalsRowLabel="Total" dataDxfId="1191"/>
    <tableColumn id="11" name="Column2" dataDxfId="1191"/>
    <tableColumn id="10" name="Column1" dataDxfId="1191"/>
    <tableColumn id="12" name="المسطح" totalsRowFunction="sum" dataDxfId="1199">
      <calculatedColumnFormula>(Table15880[[#This Row],[Column1]]+Table15880[[#This Row],[Column2]])*12*Table15880[[#This Row],[عدد]]</calculatedColumnFormula>
    </tableColumn>
    <tableColumn id="4" name="الوحده" dataDxfId="1191"/>
    <tableColumn id="5" name="الوزن" totalsRowFunction="custom">
      <totalsRowFormula>(S6*M6)+(S7*M7)+(M8*S8)+(S9*M9)</totalsRowFormula>
    </tableColumn>
    <tableColumn id="6" name="اجمالي المسطح" totalsRowFunction="sum" dataDxfId="1193">
      <calculatedColumnFormula>Table15880[[#This Row],[المسطح]]*Table15880[[#This Row],[عدد]]</calculatedColumnFormula>
    </tableColumn>
    <tableColumn id="7" name="سعر الشبك " dataDxfId="1219">
      <calculatedColumnFormula>S6*$S$2/1000</calculatedColumnFormula>
    </tableColumn>
    <tableColumn id="8" name="اجمالي" totalsRowFunction="sum" dataDxfId="1196">
      <calculatedColumnFormula>M6*U6</calculatedColumnFormula>
    </tableColumn>
    <tableColumn id="9" name="%" totalsRowFunction="custom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191" totalsRowDxfId="1192"/>
    <tableColumn id="2" name="عدد" dataDxfId="1193" totalsRowDxfId="1192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Column12" dataDxfId="1191" totalsRowDxfId="1192"/>
    <tableColumn id="4" name="الوحده" totalsRowLabel="total" dataDxfId="1191" totalsRowDxfId="1192"/>
    <tableColumn id="5" name="الوزن" dataDxfId="1191" totalsRowDxfId="1192"/>
    <tableColumn id="6" name="سعر الكيلو" dataDxfId="1191" totalsRowDxfId="1192"/>
    <tableColumn id="7" name="سعر الشبك " dataDxfId="1194" totalsRowDxfId="1195">
      <calculatedColumnFormula>Sheet2!B6</calculatedColumnFormula>
    </tableColumn>
    <tableColumn id="8" name="اجمالي" totalsRowFunction="sum" dataDxfId="1196" totalsRowDxfId="1197">
      <calculatedColumnFormula>M99*U100</calculatedColumnFormula>
    </tableColumn>
    <tableColumn id="9" name="%" totalsRowFunction="custom" totalsRowDxfId="1198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191" totalsRowDxfId="1192"/>
    <tableColumn id="2" name="عدد" dataDxfId="1193" totalsRowDxfId="1192"/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Column12" dataDxfId="1199" totalsRowDxfId="1200"/>
    <tableColumn id="4" name="الوحده" dataDxfId="1191" totalsRowDxfId="1192"/>
    <tableColumn id="5" name="الوزن" dataDxfId="1191" totalsRowDxfId="1192"/>
    <tableColumn id="6" name="سعر الكيلو" dataDxfId="1191" totalsRowDxfId="1192"/>
    <tableColumn id="7" name="سعر الشبك " dataDxfId="1194" totalsRowDxfId="1195">
      <calculatedColumnFormula>Sheet2!B22</calculatedColumnFormula>
    </tableColumn>
    <tableColumn id="8" name="اجمالي" totalsRowFunction="sum" dataDxfId="1196" totalsRowDxfId="1197">
      <calculatedColumnFormula>B17*J17</calculatedColumnFormula>
    </tableColumn>
    <tableColumn id="9" name="%" totalsRowFunction="custom" totalsRowDxfId="1198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191"/>
    <tableColumn id="2" name="عدد" dataDxfId="1193">
      <calculatedColumnFormula>IF((I70="بالتات"),0,4)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dataDxfId="1199"/>
    <tableColumn id="4" name="الوحده" dataDxfId="1191"/>
    <tableColumn id="5" name="الوزن" dataDxfId="1191"/>
    <tableColumn id="6" name="سعر الكيلو" dataDxfId="1191"/>
    <tableColumn id="7" name="سعر الشبك " dataDxfId="1194">
      <calculatedColumnFormula>Sheet2!B26</calculatedColumnFormula>
    </tableColumn>
    <tableColumn id="8" name="اجمالي" totalsRowFunction="sum" dataDxfId="1196">
      <calculatedColumnFormula>M85*U85</calculatedColumnFormula>
    </tableColumn>
    <tableColumn id="9" name="%" totalsRowFunction="custom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191"/>
    <tableColumn id="2" name="عدد" totalsRowFunction="sum" dataDxfId="1191">
      <calculatedColumnFormula>M91*4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totalsRowFunction="sum" dataDxfId="1199">
      <calculatedColumnFormula>(Table16627394[[#This Row],[Column1]]*Table16627394[[#This Row],[Column2]])*Table16627394[[#This Row],[عدد]]</calculatedColumnFormula>
    </tableColumn>
    <tableColumn id="4" name="الوحده" dataDxfId="1191"/>
    <tableColumn id="5" name="الوزن" totalsRowFunction="custom">
      <totalsRowFormula>(S94*M94)+(M95*S95)</totalsRowFormula>
    </tableColumn>
    <tableColumn id="6" name="سعر الكيلو" dataDxfId="1193"/>
    <tableColumn id="7" name="سعر الشبك " dataDxfId="1194">
      <calculatedColumnFormula>S93*$S$2/1000</calculatedColumnFormula>
    </tableColumn>
    <tableColumn id="8" name="اجمالي" totalsRowFunction="sum" dataDxfId="1196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1201"/>
    <tableColumn id="2" name="المعدل" dataDxfId="1201"/>
    <tableColumn id="3" name="الوحدة" dataDxfId="1201"/>
    <tableColumn id="4" name="Column4" dataDxfId="1208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1201"/>
    <tableColumn id="2" name="Column2" dataDxfId="1208"/>
    <tableColumn id="3" name="Column3" dataDxfId="1201"/>
    <tableColumn id="4" name="Column4" dataDxfId="1201"/>
    <tableColumn id="5" name="Column5" dataDxfId="1201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191" totalsRowDxfId="1192"/>
    <tableColumn id="2" name="عدد" dataDxfId="1207" totalsRowDxfId="1192">
      <calculatedColumnFormula>IF((تسعير!$AU$14="بالتات"),0,M120-2)</calculatedColumnFormula>
    </tableColumn>
    <tableColumn id="3" name="بيان" totalsRowLabel="Total" dataDxfId="1204" totalsRowDxfId="1192"/>
    <tableColumn id="5" name="اليومية / الاجرة" dataDxfId="1204" totalsRowDxfId="1192"/>
    <tableColumn id="6" name="بدل الوجبة" dataDxfId="1205" totalsRowDxfId="1192"/>
    <tableColumn id="11" name="موقع العمل" dataDxfId="1202" totalsRowDxfId="1192">
      <calculatedColumnFormula>تسعير!$AT$44</calculatedColumnFormula>
    </tableColumn>
    <tableColumn id="10" name="شيفت العمل" dataDxfId="1191" totalsRowDxfId="1192"/>
    <tableColumn id="12" name="Column12" totalsRowFunction="sum" dataDxfId="1199" totalsRowDxfId="1200">
      <calculatedColumnFormula>SUMIF(Table17697899[Column1],Table1612677697[[#This Row],[موقع العمل]],$AE$2:$AE$8)</calculatedColumnFormula>
    </tableColumn>
    <tableColumn id="4" name="عدد الايام" dataDxfId="1213" totalsRowDxfId="1192"/>
    <tableColumn id="7" name="اجمالي التكلفة للعامل" dataDxfId="1214" totalsRowDxfId="1195">
      <calculatedColumnFormula>Table1612677697[[#This Row],[Column12]]</calculatedColumnFormula>
    </tableColumn>
    <tableColumn id="8" name="اجمالي" totalsRowFunction="sum" dataDxfId="1196" totalsRowDxfId="1197">
      <calculatedColumnFormula>M123*U123</calculatedColumnFormula>
    </tableColumn>
    <tableColumn id="9" name="%" totalsRowFunction="custom" totalsRowDxfId="1198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202" totalsRowDxfId="1192"/>
    <tableColumn id="2" name="عدد" dataDxfId="1207" totalsRowDxfId="1192">
      <calculatedColumnFormula>IF((Q134="الاسكندرية"),0.25,0.1)</calculatedColumnFormula>
    </tableColumn>
    <tableColumn id="3" name="بيان" totalsRowLabel="Total" dataDxfId="1202" totalsRowDxfId="1192"/>
    <tableColumn id="11" name="Column2" dataDxfId="1202" totalsRowDxfId="1192"/>
    <tableColumn id="10" name="Column1" dataDxfId="1202" totalsRowDxfId="1192"/>
    <tableColumn id="12" name="Column12" totalsRowFunction="sum" dataDxfId="1217" totalsRowDxfId="1200"/>
    <tableColumn id="4" name="الوحده" dataDxfId="1203" totalsRowDxfId="1192"/>
    <tableColumn id="5" name="الوزن" dataDxfId="1202" totalsRowDxfId="1192"/>
    <tableColumn id="6" name="سعر الكيلو" dataDxfId="1202" totalsRowDxfId="1192"/>
    <tableColumn id="7" name="سعر الشبك " dataDxfId="1212" totalsRowDxfId="1195">
      <calculatedColumnFormula>F95</calculatedColumnFormula>
    </tableColumn>
    <tableColumn id="8" name="اجمالي" totalsRowFunction="sum" dataDxfId="1196" totalsRowDxfId="1197">
      <calculatedColumnFormula>M118*Table1613687798[[#This Row],[سعر الشبك ]]</calculatedColumnFormula>
    </tableColumn>
    <tableColumn id="9" name="%" totalsRowFunction="custom" totalsRowDxfId="1198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1201"/>
    <tableColumn id="2" name="خارجي" dataDxfId="1201"/>
    <tableColumn id="3" name="داخلي" dataDxfId="1201"/>
    <tableColumn id="4" name="بدل الوجبة" dataDxfId="1201"/>
    <tableColumn id="5" name="دبابة" dataDxfId="1201"/>
    <tableColumn id="6" name="جامبو" dataDxfId="1201"/>
    <tableColumn id="7" name="الاقامة" dataDxfId="1201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202"/>
    <tableColumn id="4" name="Column22" dataDxfId="1202"/>
    <tableColumn id="5" name="Column23" dataDxfId="1202"/>
    <tableColumn id="3" name="Column3" dataDxfId="1215">
      <calculatedColumnFormula>IF((Q134="المقطم"),0.3,IF((Q134="التجمع"),0.3,IF((Q134="الشيخ زايد"),0.3,IF((Q134="الاسكندرية"),0.5,0.35))))</calculatedColumnFormula>
    </tableColumn>
    <tableColumn id="2" name="Column2" dataDxfId="1207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191"/>
    <tableColumn id="2" name="عدد" dataDxfId="1191">
      <calculatedColumnFormula>IF(OR((N70="B11"),(N70="B12"),(N70="B21"),(N70="B22"),(N70="B31"),(N70="B32")),3,0)</calculatedColumnFormula>
    </tableColumn>
    <tableColumn id="3" name="بيان" totalsRowLabel="Total" dataDxfId="1191"/>
    <tableColumn id="11" name="Column2" dataDxfId="1191"/>
    <tableColumn id="10" name="Column1" dataDxfId="1191"/>
    <tableColumn id="12" name="المسطح" totalsRowFunction="sum" dataDxfId="1199">
      <calculatedColumnFormula>(Table15880101[[#This Row],[Column1]]+Table15880101[[#This Row],[Column2]])*12*Table15880101[[#This Row],[عدد]]</calculatedColumnFormula>
    </tableColumn>
    <tableColumn id="4" name="الوحده" dataDxfId="1191"/>
    <tableColumn id="5" name="الوزن" totalsRowFunction="custom">
      <totalsRowFormula>(S77*M77)+(S78*M78)+(M79*S79)+(S80*M80)</totalsRowFormula>
    </tableColumn>
    <tableColumn id="6" name="اجمالي المسطح" totalsRowFunction="sum" dataDxfId="1193">
      <calculatedColumnFormula>Table15880101[[#This Row],[المسطح]]*Table15880101[[#This Row],[عدد]]</calculatedColumnFormula>
    </tableColumn>
    <tableColumn id="7" name="سعر الشبك " dataDxfId="1219">
      <calculatedColumnFormula>S77*$S$2/1000</calculatedColumnFormula>
    </tableColumn>
    <tableColumn id="8" name="اجمالي" totalsRowFunction="sum" dataDxfId="1196">
      <calculatedColumnFormula>M77*U77</calculatedColumnFormula>
    </tableColumn>
    <tableColumn id="9" name="%" totalsRowFunction="custom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191" totalsRowDxfId="1192"/>
    <tableColumn id="2" name="عدد" dataDxfId="1193" totalsRowDxfId="1192"/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Column12" dataDxfId="1191" totalsRowDxfId="1192"/>
    <tableColumn id="4" name="الوحده" totalsRowLabel="total" dataDxfId="1191" totalsRowDxfId="1192"/>
    <tableColumn id="5" name="الوزن" dataDxfId="1191" totalsRowDxfId="1192"/>
    <tableColumn id="6" name="سعر الكيلو" dataDxfId="1191" totalsRowDxfId="1192"/>
    <tableColumn id="7" name="سعر الشبك " dataDxfId="1194" totalsRowDxfId="1195">
      <calculatedColumnFormula>Sheet2!AW6</calculatedColumnFormula>
    </tableColumn>
    <tableColumn id="8" name="اجمالي" totalsRowFunction="sum" dataDxfId="1196" totalsRowDxfId="1197">
      <calculatedColumnFormula>BH28*BP28</calculatedColumnFormula>
    </tableColumn>
    <tableColumn id="9" name="%" totalsRowFunction="custom" totalsRowDxfId="1198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191" totalsRowDxfId="1192"/>
    <tableColumn id="2" name="عدد" totalsRowFunction="count" dataDxfId="1191" totalsRowDxfId="1192">
      <calculatedColumnFormula>B29*4</calculatedColumnFormula>
    </tableColumn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Column12" totalsRowFunction="sum" dataDxfId="1199" totalsRowDxfId="1200">
      <calculatedColumnFormula>(Table16[[#This Row],[Column1]]*Table16[[#This Row],[Column2]])*Table16[[#This Row],[عدد]]</calculatedColumnFormula>
    </tableColumn>
    <tableColumn id="4" name="الوحده" dataDxfId="1191" totalsRowDxfId="1192"/>
    <tableColumn id="5" name="الوزن" totalsRowFunction="custom" totalsRowDxfId="1192">
      <totalsRowFormula>H30*B30+H31*B31</totalsRowFormula>
    </tableColumn>
    <tableColumn id="6" name="Column3" dataDxfId="1193" totalsRowDxfId="1192"/>
    <tableColumn id="7" name="سعر الشبك " dataDxfId="1194" totalsRowDxfId="1195">
      <calculatedColumnFormula>H30*$H$2/1000</calculatedColumnFormula>
    </tableColumn>
    <tableColumn id="8" name="اجمالي" totalsRowFunction="sum" dataDxfId="1196" totalsRowDxfId="1197">
      <calculatedColumnFormula>B30*J30</calculatedColumnFormula>
    </tableColumn>
    <tableColumn id="9" name="%" totalsRowFunction="custom" totalsRowDxfId="1198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191" totalsRowDxfId="1192"/>
    <tableColumn id="2" name="عدد" dataDxfId="1193" totalsRowDxfId="1192"/>
    <tableColumn id="3" name="بيان" totalsRowLabel="Total" dataDxfId="1191" totalsRowDxfId="1192"/>
    <tableColumn id="11" name="Column2" dataDxfId="1191" totalsRowDxfId="1192"/>
    <tableColumn id="10" name="Column1" dataDxfId="1191" totalsRowDxfId="1192"/>
    <tableColumn id="12" name="Column12" dataDxfId="1199" totalsRowDxfId="1200"/>
    <tableColumn id="4" name="الوحده" dataDxfId="1191" totalsRowDxfId="1192"/>
    <tableColumn id="5" name="الوزن" dataDxfId="1191" totalsRowDxfId="1192"/>
    <tableColumn id="6" name="سعر الكيلو" dataDxfId="1191" totalsRowDxfId="1192"/>
    <tableColumn id="7" name="سعر الشبك " dataDxfId="1194" totalsRowDxfId="1195">
      <calculatedColumnFormula>Sheet2!AW26</calculatedColumnFormula>
    </tableColumn>
    <tableColumn id="8" name="اجمالي" totalsRowFunction="sum" dataDxfId="1196" totalsRowDxfId="1197">
      <calculatedColumnFormula>BH14*BP14</calculatedColumnFormula>
    </tableColumn>
    <tableColumn id="9" name="%" totalsRowFunction="custom" totalsRowDxfId="1198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191"/>
    <tableColumn id="2" name="عدد" totalsRowFunction="count" dataDxfId="1191">
      <calculatedColumnFormula>BH20*4</calculatedColumnFormula>
    </tableColumn>
    <tableColumn id="3" name="بيان" totalsRowLabel="Total" dataDxfId="1191"/>
    <tableColumn id="11" name="Column2" dataDxfId="1191"/>
    <tableColumn id="10" name="Column1" dataDxfId="1191"/>
    <tableColumn id="12" name="Column12" totalsRowFunction="sum" dataDxfId="1199">
      <calculatedColumnFormula>(Table16627383[[#This Row],[Column1]]*Table16627383[[#This Row],[Column2]])*Table16627383[[#This Row],[عدد]]</calculatedColumnFormula>
    </tableColumn>
    <tableColumn id="4" name="الوحده" dataDxfId="1191"/>
    <tableColumn id="5" name="الوزن" totalsRowFunction="custom">
      <totalsRowFormula>(BN23*BH23)+(BH24*BN24)</totalsRowFormula>
    </tableColumn>
    <tableColumn id="6" name="سعر الكيلو" dataDxfId="1193"/>
    <tableColumn id="7" name="سعر الشبك " dataDxfId="1194">
      <calculatedColumnFormula>BN22*$S$2/1000</calculatedColumnFormula>
    </tableColumn>
    <tableColumn id="8" name="اجمالي" totalsRowFunction="sum" dataDxfId="1196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1201"/>
    <tableColumn id="2" name="المعدل" dataDxfId="1201"/>
    <tableColumn id="3" name="الوحدة" dataDxfId="1201"/>
    <tableColumn id="4" name="Column4" dataDxfId="1208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1201"/>
    <tableColumn id="2" name="Column2" dataDxfId="1208"/>
    <tableColumn id="3" name="Column3" dataDxfId="1201"/>
    <tableColumn id="4" name="Column4" dataDxfId="1201"/>
    <tableColumn id="5" name="Column5" dataDxfId="1201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191"/>
    <tableColumn id="2" name="عدد" dataDxfId="1207">
      <calculatedColumnFormula>IF((تسعير!$AU$14="بالتات"),0,BH48-2)</calculatedColumnFormula>
    </tableColumn>
    <tableColumn id="3" name="بيان" totalsRowLabel="Total" dataDxfId="1204"/>
    <tableColumn id="5" name="اليومية / الاجرة" dataDxfId="1204"/>
    <tableColumn id="6" name="بدل الوجبة" dataDxfId="1205"/>
    <tableColumn id="11" name="موقع العمل" dataDxfId="1202">
      <calculatedColumnFormula>تسعير!$AT$44</calculatedColumnFormula>
    </tableColumn>
    <tableColumn id="10" name="شيفت العمل" dataDxfId="1191"/>
    <tableColumn id="12" name="Column12" totalsRowFunction="sum" dataDxfId="1199">
      <calculatedColumnFormula>SUMIF(Table17697888[Column1],Table1612677686[[#This Row],[موقع العمل]],$AE$2:$AE$8)</calculatedColumnFormula>
    </tableColumn>
    <tableColumn id="4" name="عدد الايام" dataDxfId="1213"/>
    <tableColumn id="7" name="اجمالي التكلفة للعامل" dataDxfId="1214">
      <calculatedColumnFormula>Table1612677686[[#This Row],[Column12]]</calculatedColumnFormula>
    </tableColumn>
    <tableColumn id="8" name="اجمالي" totalsRowFunction="sum" dataDxfId="1196">
      <calculatedColumnFormula>BH51*BP51</calculatedColumnFormula>
    </tableColumn>
    <tableColumn id="9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202"/>
    <tableColumn id="2" name="عدد" dataDxfId="1207">
      <calculatedColumnFormula>IF((BL62="الاسكندرية"),0.25,0.1)</calculatedColumnFormula>
    </tableColumn>
    <tableColumn id="3" name="بيان" totalsRowLabel="Total" dataDxfId="1202"/>
    <tableColumn id="11" name="Column2" dataDxfId="1202"/>
    <tableColumn id="10" name="Column1" dataDxfId="1202"/>
    <tableColumn id="12" name="Column12" totalsRowFunction="sum" dataDxfId="1217"/>
    <tableColumn id="4" name="الوحده" dataDxfId="1203"/>
    <tableColumn id="5" name="الوزن" dataDxfId="1202"/>
    <tableColumn id="6" name="سعر الكيلو" dataDxfId="1202"/>
    <tableColumn id="7" name="سعر الشبك " dataDxfId="1212">
      <calculatedColumnFormula>BQ45</calculatedColumnFormula>
    </tableColumn>
    <tableColumn id="8" name="اجمالي" totalsRowFunction="sum" dataDxfId="1196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1201"/>
    <tableColumn id="2" name="خارجي" dataDxfId="1201"/>
    <tableColumn id="3" name="داخلي" dataDxfId="1201"/>
    <tableColumn id="4" name="بدل الوجبة" dataDxfId="1201"/>
    <tableColumn id="5" name="دبابة" dataDxfId="1201"/>
    <tableColumn id="6" name="جامبو" dataDxfId="1201"/>
    <tableColumn id="7" name="الاقامة" dataDxfId="1201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202"/>
    <tableColumn id="4" name="Column22" dataDxfId="1202"/>
    <tableColumn id="5" name="Column23" dataDxfId="1202"/>
    <tableColumn id="3" name="Column3" dataDxfId="1215">
      <calculatedColumnFormula>IF((BL62="المقطم"),0.3,IF((BL62="التجمع"),0.3,IF((BL62="الشيخ زايد"),0.3,IF((BL62="الاسكندرية"),0.5,0.35))))</calculatedColumnFormula>
    </tableColumn>
    <tableColumn id="2" name="Column2" dataDxfId="1207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191"/>
    <tableColumn id="2" name="عدد" dataDxfId="1191"/>
    <tableColumn id="3" name="بيان" totalsRowLabel="Total" dataDxfId="1191"/>
    <tableColumn id="11" name="Column2" dataDxfId="1191"/>
    <tableColumn id="10" name="Column1" dataDxfId="1191"/>
    <tableColumn id="12" name="المسطح" totalsRowFunction="sum" dataDxfId="1199">
      <calculatedColumnFormula>(Table1588090[[#This Row],[Column1]]+Table1588090[[#This Row],[Column2]])*12*Table1588090[[#This Row],[عدد]]</calculatedColumnFormula>
    </tableColumn>
    <tableColumn id="4" name="الوحده" dataDxfId="1191"/>
    <tableColumn id="5" name="الوزن" totalsRowFunction="custom">
      <totalsRowFormula>(BN6*BH6)+(BN7*BG7)+(BN8*BG8)+(BN9*BG9)</totalsRowFormula>
    </tableColumn>
    <tableColumn id="6" name="اجمالي المسطح" totalsRowFunction="sum" dataDxfId="1193">
      <calculatedColumnFormula>Table1588090[[#This Row],[المسطح]]*Table1588090[[#This Row],[عدد]]</calculatedColumnFormula>
    </tableColumn>
    <tableColumn id="7" name="سعر الشبك " dataDxfId="1219">
      <calculatedColumnFormula>BN6*$S$2/1000</calculatedColumnFormula>
    </tableColumn>
    <tableColumn id="8" name="اجمالي" totalsRowFunction="sum" dataDxfId="1196">
      <calculatedColumnFormula>BH6*BP6</calculatedColumnFormula>
    </tableColumn>
    <tableColumn id="9" name="%" totalsRowFunction="custom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31" totalsRowDxfId="10"/>
    <tableColumn id="2" name="عدد" totalsRowFunction="custom" totalsRowDxfId="8">
      <totalsRowFormula>(Table8091[[#Totals],[price]]*1.1)/(BA1*AY1/10000)</totalsRowFormula>
    </tableColumn>
    <tableColumn id="3" name="طول" dataDxfId="1230" totalsRowDxfId="0"/>
    <tableColumn id="4" name="Column2" dataDxfId="1230" totalsRowDxfId="1231"/>
    <tableColumn id="5" name="wt/m" dataDxfId="1230" totalsRowDxfId="1231"/>
    <tableColumn id="6" name="price" totalsRowFunction="sum" dataDxfId="1230" totalsRowDxfId="1231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6"/>
  <sheetViews>
    <sheetView rightToLeft="1" tabSelected="1" zoomScale="90" zoomScaleNormal="90" zoomScaleSheetLayoutView="70" workbookViewId="0">
      <selection activeCell="B15" sqref="B15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72" customFormat="1">
      <c r="A1" s="372" t="s">
        <v>185</v>
      </c>
      <c r="B1" s="372" t="s">
        <v>165</v>
      </c>
      <c r="C1" s="372" t="s">
        <v>168</v>
      </c>
      <c r="D1" s="372" t="s">
        <v>154</v>
      </c>
      <c r="E1" s="503"/>
      <c r="F1" s="504"/>
      <c r="G1" s="567" t="s">
        <v>217</v>
      </c>
      <c r="H1" s="567"/>
      <c r="I1" s="567"/>
      <c r="J1" s="517"/>
    </row>
    <row r="2" ht="21">
      <c r="A2" s="505" t="s">
        <v>186</v>
      </c>
      <c r="B2" s="565" t="s">
        <v>166</v>
      </c>
      <c r="C2" s="506" t="s">
        <v>169</v>
      </c>
      <c r="D2" s="507" t="s">
        <v>193</v>
      </c>
      <c r="E2" s="503"/>
      <c r="F2" s="508"/>
      <c r="G2" s="233" t="s">
        <v>9</v>
      </c>
      <c r="H2" s="233" t="s">
        <v>30</v>
      </c>
      <c r="I2" s="233" t="s">
        <v>154</v>
      </c>
      <c r="J2" s="518"/>
    </row>
    <row r="3" ht="21">
      <c r="A3" s="509"/>
      <c r="B3" s="566" t="s">
        <v>167</v>
      </c>
      <c r="C3" s="510" t="s">
        <v>177</v>
      </c>
      <c r="D3" s="511" t="s">
        <v>192</v>
      </c>
      <c r="E3" s="503"/>
      <c r="F3" s="508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B2</v>
      </c>
      <c r="I3" s="233">
        <f>Table1[[#Totals],[اجمالي]]+Table14[[#Totals],[اجمالي]]+Table15[[#Totals],[اجمالي]]+Table16[[#Totals],[اجمالي]]+Table1610[[#Totals],[اجمالي]]</f>
        <v>39526.875</v>
      </c>
      <c r="J3" s="518"/>
    </row>
    <row r="4" ht="21">
      <c r="A4" s="512"/>
      <c r="B4" s="513"/>
      <c r="C4" s="513"/>
      <c r="D4" s="514"/>
      <c r="E4" s="503"/>
      <c r="F4" s="508"/>
      <c r="G4" s="568" t="s">
        <v>218</v>
      </c>
      <c r="H4" s="568"/>
      <c r="I4" s="568"/>
      <c r="J4" s="518"/>
    </row>
    <row r="5" ht="21">
      <c r="A5" s="505" t="s">
        <v>186</v>
      </c>
      <c r="B5" s="565" t="s">
        <v>166</v>
      </c>
      <c r="C5" s="506" t="s">
        <v>169</v>
      </c>
      <c r="D5" s="507" t="s">
        <v>193</v>
      </c>
      <c r="E5" s="503"/>
      <c r="F5" s="508"/>
      <c r="G5" s="233" t="s">
        <v>9</v>
      </c>
      <c r="H5" s="233" t="s">
        <v>30</v>
      </c>
      <c r="I5" s="233" t="s">
        <v>154</v>
      </c>
      <c r="J5" s="518"/>
    </row>
    <row r="6" ht="21" customHeight="1">
      <c r="A6" s="509" t="s">
        <v>205</v>
      </c>
      <c r="B6" s="566" t="s">
        <v>167</v>
      </c>
      <c r="C6" s="510" t="s">
        <v>177</v>
      </c>
      <c r="D6" s="511" t="s">
        <v>192</v>
      </c>
      <c r="E6" s="503"/>
      <c r="F6" s="508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9">
        <f>Table118[[#Totals],[اجمالي]]+Table1421[[#Totals],[اجمالي]]+Table1522[[#Totals],[اجمالي]]+Table1624[[#Totals],[اجمالي]]+Table1319[[#Totals],[اجمالي]]+Table161027[[#Totals],[اجمالي]]</f>
        <v>130456.25</v>
      </c>
      <c r="J6" s="518"/>
    </row>
    <row r="7" ht="21" customHeight="1">
      <c r="A7" s="515"/>
      <c r="B7" s="513"/>
      <c r="C7" s="513"/>
      <c r="D7" s="514"/>
      <c r="E7" s="503"/>
      <c r="F7" s="515"/>
      <c r="G7" s="516"/>
      <c r="H7" s="516"/>
      <c r="I7" s="516"/>
      <c r="J7" s="520"/>
    </row>
    <row r="10" ht="21">
      <c r="A10" s="569" t="s">
        <v>219</v>
      </c>
      <c r="B10" s="569"/>
    </row>
    <row r="11">
      <c r="A11" s="233" t="s">
        <v>220</v>
      </c>
      <c r="B11" s="233" t="s">
        <v>221</v>
      </c>
    </row>
    <row r="12">
      <c r="A12" s="233" t="s">
        <v>222</v>
      </c>
      <c r="B12" s="233">
        <v>75000</v>
      </c>
    </row>
    <row r="13">
      <c r="A13" s="233" t="s">
        <v>223</v>
      </c>
      <c r="B13" s="233">
        <v>75000</v>
      </c>
    </row>
    <row r="14">
      <c r="A14" s="564" t="s">
        <v>224</v>
      </c>
      <c r="B14" s="233">
        <v>230000</v>
      </c>
    </row>
    <row r="15">
      <c r="A15" s="233" t="s">
        <v>225</v>
      </c>
      <c r="B15" s="233">
        <v>50000</v>
      </c>
    </row>
    <row r="16">
      <c r="A16" s="233" t="s">
        <v>226</v>
      </c>
      <c r="B16" s="233">
        <v>275</v>
      </c>
    </row>
    <row r="17">
      <c r="A17" s="233" t="s">
        <v>227</v>
      </c>
      <c r="B17" s="233">
        <v>200</v>
      </c>
    </row>
    <row r="18">
      <c r="A18" s="233" t="s">
        <v>62</v>
      </c>
      <c r="B18" s="233">
        <v>350</v>
      </c>
    </row>
    <row r="19">
      <c r="A19" s="233" t="s">
        <v>66</v>
      </c>
      <c r="B19" s="233">
        <v>250</v>
      </c>
    </row>
    <row r="20">
      <c r="A20" s="233" t="s">
        <v>70</v>
      </c>
      <c r="B20" s="233">
        <v>450</v>
      </c>
    </row>
    <row r="21">
      <c r="A21" s="233" t="s">
        <v>73</v>
      </c>
      <c r="B21" s="233">
        <v>455</v>
      </c>
    </row>
    <row r="22">
      <c r="A22" s="233" t="s">
        <v>78</v>
      </c>
      <c r="B22" s="233">
        <v>160</v>
      </c>
    </row>
    <row r="23">
      <c r="A23" s="233" t="s">
        <v>80</v>
      </c>
      <c r="B23" s="233">
        <v>160</v>
      </c>
    </row>
    <row r="24">
      <c r="A24" s="233" t="s">
        <v>103</v>
      </c>
      <c r="B24" s="233">
        <v>325</v>
      </c>
    </row>
    <row r="25">
      <c r="A25" s="233" t="s">
        <v>45</v>
      </c>
      <c r="B25" s="233">
        <v>90</v>
      </c>
    </row>
    <row r="26">
      <c r="A26" s="233" t="s">
        <v>106</v>
      </c>
      <c r="B26" s="233">
        <v>210</v>
      </c>
    </row>
    <row r="27">
      <c r="A27" s="233" t="s">
        <v>107</v>
      </c>
      <c r="B27" s="233">
        <v>410</v>
      </c>
    </row>
    <row r="28">
      <c r="A28" s="233" t="s">
        <v>81</v>
      </c>
      <c r="B28" s="233">
        <v>400</v>
      </c>
    </row>
    <row r="29">
      <c r="A29" s="233" t="s">
        <v>94</v>
      </c>
      <c r="B29" s="233">
        <v>1000</v>
      </c>
    </row>
    <row r="30">
      <c r="A30" s="233" t="s">
        <v>97</v>
      </c>
      <c r="B30" s="233">
        <v>1000</v>
      </c>
    </row>
    <row r="31">
      <c r="A31" s="233" t="s">
        <v>98</v>
      </c>
      <c r="B31" s="233">
        <v>300</v>
      </c>
    </row>
    <row r="32">
      <c r="A32" s="233" t="s">
        <v>121</v>
      </c>
      <c r="B32" s="233">
        <v>6500</v>
      </c>
    </row>
    <row r="33">
      <c r="A33" s="540" t="s">
        <v>228</v>
      </c>
      <c r="B33" s="233">
        <v>8000</v>
      </c>
    </row>
    <row r="34">
      <c r="A34" s="233" t="s">
        <v>229</v>
      </c>
      <c r="B34" s="233">
        <v>2000</v>
      </c>
    </row>
    <row r="35">
      <c r="A35" s="233" t="s">
        <v>230</v>
      </c>
      <c r="B35" s="233">
        <v>1500</v>
      </c>
    </row>
    <row r="36">
      <c r="A36" s="233" t="s">
        <v>231</v>
      </c>
      <c r="B36" s="233">
        <v>1500</v>
      </c>
    </row>
    <row r="37">
      <c r="A37" s="233" t="s">
        <v>232</v>
      </c>
      <c r="B37" s="233">
        <v>5000</v>
      </c>
    </row>
    <row r="38">
      <c r="A38" s="233" t="s">
        <v>233</v>
      </c>
      <c r="B38" s="233">
        <v>800</v>
      </c>
    </row>
    <row r="39">
      <c r="A39" s="233" t="s">
        <v>234</v>
      </c>
      <c r="B39" s="233">
        <v>120</v>
      </c>
    </row>
    <row r="40">
      <c r="A40" s="233" t="s">
        <v>235</v>
      </c>
      <c r="B40" s="233">
        <v>90</v>
      </c>
    </row>
    <row r="41">
      <c r="A41" s="233" t="s">
        <v>236</v>
      </c>
      <c r="B41" s="233">
        <v>20</v>
      </c>
    </row>
    <row r="42" ht="18.75">
      <c r="A42" s="331" t="s">
        <v>237</v>
      </c>
      <c r="B42" s="233">
        <v>650</v>
      </c>
    </row>
    <row r="43" ht="18.75">
      <c r="A43" s="331" t="s">
        <v>238</v>
      </c>
      <c r="B43" s="233">
        <v>150</v>
      </c>
    </row>
    <row r="44" ht="18.75">
      <c r="A44" s="331" t="s">
        <v>239</v>
      </c>
      <c r="B44" s="233">
        <v>200</v>
      </c>
    </row>
    <row r="45">
      <c r="A45" s="564" t="s">
        <v>240</v>
      </c>
      <c r="B45" s="233">
        <v>4000</v>
      </c>
    </row>
    <row r="46">
      <c r="A46" s="564" t="s">
        <v>241</v>
      </c>
      <c r="B46" s="233">
        <v>3000</v>
      </c>
    </row>
    <row r="47">
      <c r="A47" s="233" t="s">
        <v>242</v>
      </c>
      <c r="B47" s="233">
        <v>150</v>
      </c>
    </row>
    <row r="48">
      <c r="A48" s="233" t="s">
        <v>243</v>
      </c>
      <c r="B48" s="233">
        <v>20</v>
      </c>
    </row>
    <row r="49">
      <c r="A49" s="233" t="s">
        <v>244</v>
      </c>
      <c r="B49" s="233">
        <v>1200</v>
      </c>
    </row>
    <row r="50">
      <c r="A50" s="233" t="s">
        <v>245</v>
      </c>
      <c r="B50" s="233">
        <v>150</v>
      </c>
    </row>
    <row r="51">
      <c r="A51" s="233" t="s">
        <v>246</v>
      </c>
      <c r="B51" s="233">
        <v>150</v>
      </c>
    </row>
    <row r="52">
      <c r="A52" s="233" t="s">
        <v>247</v>
      </c>
      <c r="B52" s="233">
        <v>250</v>
      </c>
    </row>
    <row r="53">
      <c r="A53" s="233" t="s">
        <v>248</v>
      </c>
      <c r="B53" s="233">
        <v>100</v>
      </c>
    </row>
    <row r="54">
      <c r="A54" s="564" t="s">
        <v>249</v>
      </c>
      <c r="B54" s="233">
        <v>1200</v>
      </c>
    </row>
    <row r="55">
      <c r="A55" s="540" t="s">
        <v>250</v>
      </c>
      <c r="B55" s="233">
        <v>21000</v>
      </c>
    </row>
    <row r="56">
      <c r="A56" s="540" t="s">
        <v>251</v>
      </c>
      <c r="B56" s="233">
        <v>6000</v>
      </c>
    </row>
    <row r="57"/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zoomScale="55" zoomScaleNormal="55" workbookViewId="0">
      <selection activeCell="Y24" sqref="Y24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6" t="s">
        <v>593</v>
      </c>
      <c r="B1" s="737"/>
      <c r="C1" s="737"/>
      <c r="D1" s="737"/>
      <c r="E1" s="737"/>
      <c r="F1" s="737"/>
      <c r="G1" s="737"/>
      <c r="H1" s="737"/>
      <c r="I1" s="737"/>
      <c r="J1" s="737"/>
      <c r="K1" s="737"/>
      <c r="L1" s="737"/>
      <c r="M1" s="737"/>
      <c r="N1" s="738"/>
      <c r="O1" s="87"/>
      <c r="P1" s="88"/>
      <c r="Q1" s="88"/>
      <c r="R1" s="88"/>
      <c r="W1" s="136">
        <f>IF(تسعير!T6="سادة",Royal!J2+20000,IF(تسعير!T6="خشبي",Royal!J2+40000,0))</f>
        <v>250000</v>
      </c>
      <c r="X1" s="60" t="s">
        <v>355</v>
      </c>
      <c r="Y1" s="136" t="e">
        <f>Royal!#REF!</f>
        <v>#REF!</v>
      </c>
      <c r="Z1" s="151" t="s">
        <v>356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51" t="s">
        <v>357</v>
      </c>
      <c r="B3" s="751"/>
      <c r="C3" s="751"/>
      <c r="D3" s="753">
        <f>تسجيل1!B2</f>
        <v>0</v>
      </c>
      <c r="E3" s="753"/>
      <c r="F3" s="753"/>
      <c r="G3" s="753"/>
      <c r="H3" s="753"/>
      <c r="I3" s="753"/>
      <c r="J3" s="753"/>
      <c r="K3" s="753"/>
      <c r="L3" s="753"/>
      <c r="M3" s="739" t="s">
        <v>358</v>
      </c>
      <c r="N3" s="739"/>
      <c r="O3" s="89"/>
      <c r="P3" s="90"/>
      <c r="Q3" s="90"/>
      <c r="R3" s="90"/>
      <c r="Z3" s="151"/>
      <c r="AA3" s="60"/>
      <c r="AB3" s="60"/>
    </row>
    <row r="4" ht="13.5" customHeight="1">
      <c r="A4" s="752"/>
      <c r="B4" s="752"/>
      <c r="C4" s="752"/>
      <c r="D4" s="754"/>
      <c r="E4" s="754"/>
      <c r="F4" s="754"/>
      <c r="G4" s="753"/>
      <c r="H4" s="753"/>
      <c r="I4" s="754"/>
      <c r="J4" s="754"/>
      <c r="K4" s="754"/>
      <c r="L4" s="754"/>
      <c r="M4" s="740"/>
      <c r="N4" s="740"/>
      <c r="O4" s="91"/>
      <c r="P4" s="92"/>
      <c r="Q4" s="92"/>
      <c r="R4" s="92"/>
      <c r="Z4" s="151"/>
      <c r="AA4" s="60"/>
      <c r="AB4" s="60"/>
    </row>
    <row r="5" ht="13.5" customHeight="1">
      <c r="A5" s="741" t="e">
        <f>Y1</f>
        <v>#REF!</v>
      </c>
      <c r="B5" s="742"/>
      <c r="C5" s="743"/>
      <c r="D5" s="744" t="s">
        <v>356</v>
      </c>
      <c r="E5" s="745"/>
      <c r="F5" s="746"/>
      <c r="G5" s="63"/>
      <c r="H5" s="63"/>
      <c r="I5" s="741">
        <f>W1</f>
        <v>250000</v>
      </c>
      <c r="J5" s="742"/>
      <c r="K5" s="743"/>
      <c r="L5" s="744" t="s">
        <v>359</v>
      </c>
      <c r="M5" s="745"/>
      <c r="N5" s="746"/>
      <c r="O5" s="93"/>
      <c r="P5" s="92"/>
      <c r="Q5" s="92"/>
      <c r="R5" s="92"/>
      <c r="Z5" s="151"/>
      <c r="AA5" s="60"/>
      <c r="AB5" s="60"/>
    </row>
    <row r="6" ht="16.5" customHeight="1">
      <c r="A6" s="684" t="s">
        <v>252</v>
      </c>
      <c r="B6" s="685"/>
      <c r="C6" s="686"/>
      <c r="D6" s="678" t="s">
        <v>360</v>
      </c>
      <c r="E6" s="747" t="s">
        <v>361</v>
      </c>
      <c r="F6" s="748"/>
      <c r="G6" s="721"/>
      <c r="H6" s="721"/>
      <c r="I6" s="748"/>
      <c r="J6" s="749"/>
      <c r="K6" s="750">
        <f>تسجيل1!C7</f>
        <v>500</v>
      </c>
      <c r="L6" s="750"/>
      <c r="M6" s="94" t="s">
        <v>362</v>
      </c>
      <c r="N6" s="186">
        <f>تسجيل1!E7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4"/>
      <c r="B7" s="685"/>
      <c r="C7" s="686"/>
      <c r="D7" s="678"/>
      <c r="E7" s="720" t="s">
        <v>363</v>
      </c>
      <c r="F7" s="721"/>
      <c r="G7" s="721"/>
      <c r="H7" s="721"/>
      <c r="I7" s="721"/>
      <c r="J7" s="722"/>
      <c r="K7" s="723">
        <f>K6*N6/10000</f>
        <v>40</v>
      </c>
      <c r="L7" s="723"/>
      <c r="M7" s="723"/>
      <c r="N7" s="98" t="s">
        <v>364</v>
      </c>
      <c r="O7" s="99">
        <f>AA41/K7</f>
        <v>2925.7747659743609</v>
      </c>
      <c r="S7" s="60" t="s">
        <v>127</v>
      </c>
      <c r="T7" s="61" t="s">
        <v>365</v>
      </c>
      <c r="Z7" s="151"/>
      <c r="AA7" s="60"/>
      <c r="AB7" s="60"/>
    </row>
    <row r="8">
      <c r="A8" s="687"/>
      <c r="B8" s="688"/>
      <c r="C8" s="689"/>
      <c r="D8" s="679"/>
      <c r="E8" s="724" t="s">
        <v>366</v>
      </c>
      <c r="F8" s="725"/>
      <c r="G8" s="725"/>
      <c r="H8" s="725"/>
      <c r="I8" s="725"/>
      <c r="J8" s="726"/>
      <c r="K8" s="727">
        <f>K6-1</f>
        <v>499</v>
      </c>
      <c r="L8" s="727"/>
      <c r="M8" s="100" t="s">
        <v>367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772</v>
      </c>
      <c r="O8" s="102">
        <f>O7*K7</f>
        <v>117030.99063897444</v>
      </c>
      <c r="P8" s="103"/>
      <c r="Q8" s="103"/>
      <c r="R8" s="103"/>
      <c r="S8" s="103">
        <f>Sheet2!B16</f>
        <v>275</v>
      </c>
      <c r="T8" s="137">
        <f>((K8*N8)/10000)*1.2</f>
        <v>46.22736</v>
      </c>
      <c r="U8" s="138">
        <f>T8*S8</f>
        <v>12712.524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8" t="s">
        <v>368</v>
      </c>
      <c r="B10" s="728"/>
      <c r="C10" s="728"/>
      <c r="D10" s="728"/>
      <c r="E10" s="728"/>
      <c r="F10" s="728"/>
      <c r="G10" s="729" t="s">
        <v>369</v>
      </c>
      <c r="H10" s="729"/>
      <c r="I10" s="729" t="s">
        <v>370</v>
      </c>
      <c r="J10" s="729"/>
      <c r="K10" s="104"/>
      <c r="L10" s="730" t="s">
        <v>305</v>
      </c>
      <c r="M10" s="730"/>
      <c r="N10" s="730"/>
      <c r="O10" s="105"/>
      <c r="P10" s="97"/>
      <c r="Q10" s="97"/>
      <c r="R10" s="97"/>
      <c r="S10" s="90" t="s">
        <v>371</v>
      </c>
      <c r="T10" s="90" t="s">
        <v>372</v>
      </c>
      <c r="U10" s="90" t="s">
        <v>373</v>
      </c>
      <c r="V10" s="90" t="s">
        <v>374</v>
      </c>
      <c r="W10" s="60" t="s">
        <v>375</v>
      </c>
      <c r="X10" s="60" t="s">
        <v>221</v>
      </c>
      <c r="Z10" s="151"/>
      <c r="AA10" s="60"/>
      <c r="AB10" s="60"/>
    </row>
    <row r="11" ht="20.1" customHeight="1">
      <c r="A11" s="731" t="s">
        <v>376</v>
      </c>
      <c r="B11" s="732"/>
      <c r="C11" s="732"/>
      <c r="D11" s="732"/>
      <c r="E11" s="732"/>
      <c r="F11" s="733"/>
      <c r="G11" s="734">
        <f>L11</f>
        <v>3</v>
      </c>
      <c r="H11" s="734"/>
      <c r="I11" s="735">
        <f>'Format διαστασης οδηγου'!F8</f>
        <v>765</v>
      </c>
      <c r="J11" s="735"/>
      <c r="K11" s="106"/>
      <c r="L11" s="730">
        <f>IF(Format!A7=1,تسجيل1!H27,IF(Format!A7=2,تسجيل1!H27,IF(Format!A7=3,تسجيل1!H27,IF(Format!A7=4,تسجيل1!H27,IF(Format!A7=5,تسجيل1!H27,"-------")))))</f>
        <v>3</v>
      </c>
      <c r="M11" s="730"/>
      <c r="N11" s="730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2.86875</v>
      </c>
      <c r="U11" s="103">
        <f>CEILING(T11,0.5)</f>
        <v>3</v>
      </c>
      <c r="V11" s="103">
        <f>U11*S11</f>
        <v>24</v>
      </c>
      <c r="W11" s="140">
        <v>4.45627705627706</v>
      </c>
      <c r="X11" s="141">
        <f>($W$1/1000)*W11*V11</f>
        <v>26737.662337662361</v>
      </c>
      <c r="Z11" s="151"/>
      <c r="AA11" s="60"/>
      <c r="AB11" s="60"/>
    </row>
    <row r="12" ht="20.1" customHeight="1">
      <c r="A12" s="708" t="s">
        <v>377</v>
      </c>
      <c r="B12" s="708"/>
      <c r="C12" s="708"/>
      <c r="D12" s="708"/>
      <c r="E12" s="708"/>
      <c r="F12" s="708"/>
      <c r="G12" s="709">
        <f>IF(L11&gt;2,4,IF(L11=2,2))</f>
        <v>4</v>
      </c>
      <c r="H12" s="709"/>
      <c r="I12" s="71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247</v>
      </c>
      <c r="J12" s="710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3.293333333333333</v>
      </c>
      <c r="U12" s="103">
        <f ref="U12:U21" t="shared" si="0">CEILING(T12,0.25)</f>
        <v>3.5</v>
      </c>
      <c r="V12" s="103">
        <f ref="V12:V20" t="shared" si="1">G12*S12</f>
        <v>12</v>
      </c>
      <c r="W12" s="140">
        <v>1.86378737541528</v>
      </c>
      <c r="X12" s="141">
        <f>($W$1/1000)*W12*V12</f>
        <v>5591.36212624584</v>
      </c>
      <c r="Z12" s="151"/>
      <c r="AA12" s="60"/>
      <c r="AB12" s="60"/>
    </row>
    <row r="13" ht="20.1" customHeight="1">
      <c r="A13" s="708" t="s">
        <v>378</v>
      </c>
      <c r="B13" s="708"/>
      <c r="C13" s="708"/>
      <c r="D13" s="708"/>
      <c r="E13" s="708"/>
      <c r="F13" s="708"/>
      <c r="G13" s="709" t="str">
        <f>IF(L11&lt;=3,"0",(L11-3)*2)</f>
        <v>0</v>
      </c>
      <c r="H13" s="709"/>
      <c r="I13" s="710">
        <f>IF(G13="-------","-------",L17-5)</f>
        <v>240.5</v>
      </c>
      <c r="J13" s="710"/>
      <c r="K13" s="106"/>
      <c r="L13" s="719" t="s">
        <v>279</v>
      </c>
      <c r="M13" s="719"/>
      <c r="N13" s="719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08" t="s">
        <v>379</v>
      </c>
      <c r="B14" s="708"/>
      <c r="C14" s="708"/>
      <c r="D14" s="708"/>
      <c r="E14" s="708"/>
      <c r="F14" s="708"/>
      <c r="G14" s="709">
        <f>IF(L11&gt;2,2*L14,IF(L11=2,L14))</f>
        <v>24</v>
      </c>
      <c r="H14" s="709"/>
      <c r="I14" s="710">
        <f>I12</f>
        <v>247</v>
      </c>
      <c r="J14" s="710"/>
      <c r="K14" s="106"/>
      <c r="L14" s="109">
        <f>تسجيل1!H28</f>
        <v>12</v>
      </c>
      <c r="M14" s="110" t="s">
        <v>283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19.76</v>
      </c>
      <c r="U14" s="103">
        <f>CEILING(T14,0.5)</f>
        <v>20</v>
      </c>
      <c r="V14" s="103">
        <f t="shared" si="1"/>
        <v>72</v>
      </c>
      <c r="W14" s="140">
        <v>1.05172413793103</v>
      </c>
      <c r="X14" s="141">
        <f t="shared" si="7"/>
        <v>18931.034482758543</v>
      </c>
      <c r="Z14" s="151"/>
      <c r="AA14" s="60"/>
      <c r="AB14" s="60"/>
    </row>
    <row r="15" ht="20.1" customHeight="1">
      <c r="A15" s="708" t="s">
        <v>380</v>
      </c>
      <c r="B15" s="708"/>
      <c r="C15" s="708"/>
      <c r="D15" s="708"/>
      <c r="E15" s="708"/>
      <c r="F15" s="708"/>
      <c r="G15" s="709" t="str">
        <f>IF(L11&lt;=3,"0",(L11-3)*L14)</f>
        <v>0</v>
      </c>
      <c r="H15" s="709"/>
      <c r="I15" s="710">
        <f>IF(G15="-------","---------",I13)</f>
        <v>240.5</v>
      </c>
      <c r="J15" s="710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08" t="s">
        <v>381</v>
      </c>
      <c r="B16" s="708"/>
      <c r="C16" s="708"/>
      <c r="D16" s="708"/>
      <c r="E16" s="708"/>
      <c r="F16" s="708"/>
      <c r="G16" s="709">
        <v>1</v>
      </c>
      <c r="H16" s="709"/>
      <c r="I16" s="71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248.5</v>
      </c>
      <c r="J16" s="710"/>
      <c r="K16" s="106"/>
      <c r="L16" s="703" t="s">
        <v>382</v>
      </c>
      <c r="M16" s="703"/>
      <c r="N16" s="703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0.82833333333333325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1046.1538461538498</v>
      </c>
      <c r="Z16" s="151"/>
      <c r="AA16" s="60"/>
      <c r="AB16" s="60"/>
    </row>
    <row r="17" ht="20.1" customHeight="1">
      <c r="A17" s="708" t="s">
        <v>383</v>
      </c>
      <c r="B17" s="708"/>
      <c r="C17" s="708"/>
      <c r="D17" s="708"/>
      <c r="E17" s="708"/>
      <c r="F17" s="708"/>
      <c r="G17" s="709">
        <f>IF(L11=2,"0",1)</f>
        <v>1</v>
      </c>
      <c r="H17" s="709"/>
      <c r="I17" s="710">
        <f>IF(G17="-------","-------",IF(Format!A7=1,(L17+3),IF(Format!A7=2,(L17+3.5),IF(Format!A7=3,(L17+3),IF(Format!A7=4,(L17+4.25),IF(Format!A7=5,(L17+5),"--------"))))))</f>
        <v>249</v>
      </c>
      <c r="J17" s="710"/>
      <c r="K17" s="106"/>
      <c r="L17" s="718">
        <f>IF(Format!A7=1,(K6-2-6)/(L11-1),IF(Format!A7=2,(K6-2-7)/(L11-1),IF(Format!A7=3,(K6-2-6)/(L11-1),IF(Format!A7=4,(K6-2-8.5)/(L11-1),IF(Format!A7=5,(K6-2-10)/(L11-1),"--------")))))</f>
        <v>245.5</v>
      </c>
      <c r="M17" s="718"/>
      <c r="N17" s="718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0.83</v>
      </c>
      <c r="U17" s="103">
        <f>CEILING(T17,0.5)</f>
        <v>1</v>
      </c>
      <c r="V17" s="103">
        <f t="shared" si="1"/>
        <v>3</v>
      </c>
      <c r="W17" s="140">
        <v>1.3948717948718</v>
      </c>
      <c r="X17" s="141">
        <f t="shared" si="7"/>
        <v>1046.1538461538498</v>
      </c>
      <c r="Z17" s="151"/>
      <c r="AA17" s="60"/>
      <c r="AB17" s="60"/>
    </row>
    <row r="18" ht="20.1" customHeight="1">
      <c r="A18" s="708" t="s">
        <v>384</v>
      </c>
      <c r="B18" s="708"/>
      <c r="C18" s="708"/>
      <c r="D18" s="708"/>
      <c r="E18" s="708"/>
      <c r="F18" s="708"/>
      <c r="G18" s="709" t="str">
        <f>IF(L11&lt;=3,"0",(L11-3))</f>
        <v>0</v>
      </c>
      <c r="H18" s="709"/>
      <c r="I18" s="710">
        <f>IF(G18="-------","-------",L17)</f>
        <v>245.5</v>
      </c>
      <c r="J18" s="710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08" t="str">
        <f>IF(Format!H4=1,"Balloon","-------")</f>
        <v>-------</v>
      </c>
      <c r="B19" s="708"/>
      <c r="C19" s="708"/>
      <c r="D19" s="708"/>
      <c r="E19" s="708"/>
      <c r="F19" s="708"/>
      <c r="G19" s="709" t="str">
        <f>IF([1]Format!H4=1,'[1]تقطيع البرجولة'!L14,"0")</f>
        <v>0</v>
      </c>
      <c r="H19" s="709"/>
      <c r="I19" s="710">
        <f>IF(G19="-------","-------",K6-2.5)</f>
        <v>497.5</v>
      </c>
      <c r="J19" s="710"/>
      <c r="K19" s="106"/>
      <c r="L19" s="711" t="s">
        <v>308</v>
      </c>
      <c r="M19" s="712"/>
      <c r="N19" s="71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4" t="s">
        <v>385</v>
      </c>
      <c r="B20" s="715"/>
      <c r="C20" s="715"/>
      <c r="D20" s="715"/>
      <c r="E20" s="715"/>
      <c r="F20" s="716"/>
      <c r="G20" s="714">
        <f>(G12+G13)/2</f>
        <v>2</v>
      </c>
      <c r="H20" s="715"/>
      <c r="I20" s="710">
        <f>L17-7</f>
        <v>238.5</v>
      </c>
      <c r="J20" s="710"/>
      <c r="K20" s="106"/>
      <c r="L20" s="114" t="s">
        <v>369</v>
      </c>
      <c r="M20" s="717" t="s">
        <v>386</v>
      </c>
      <c r="N20" s="717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1.59</v>
      </c>
      <c r="U20" s="103">
        <f t="shared" si="0"/>
        <v>1.75</v>
      </c>
      <c r="V20" s="103">
        <f t="shared" si="1"/>
        <v>6</v>
      </c>
      <c r="W20" s="103">
        <v>1.65</v>
      </c>
      <c r="X20" s="141">
        <f t="shared" si="7"/>
        <v>2475</v>
      </c>
      <c r="Z20" s="151"/>
      <c r="AA20" s="60"/>
      <c r="AB20" s="60"/>
    </row>
    <row r="21" ht="20.1" customHeight="1">
      <c r="A21" s="700" t="s">
        <v>387</v>
      </c>
      <c r="B21" s="700"/>
      <c r="C21" s="700"/>
      <c r="D21" s="700"/>
      <c r="E21" s="700"/>
      <c r="F21" s="700"/>
      <c r="G21" s="701">
        <f>L11</f>
        <v>3</v>
      </c>
      <c r="H21" s="701"/>
      <c r="I21" s="702">
        <f>(I11*2)+45</f>
        <v>1575</v>
      </c>
      <c r="J21" s="702"/>
      <c r="K21" s="106"/>
      <c r="L21" s="112">
        <f>IF(Format!E7=1,"-------",IF(Format!E7=5,"-------",تسجيل1!H30))</f>
        <v>3</v>
      </c>
      <c r="M21" s="703" t="str">
        <f>IF(L21="-------","-------",تسجيل1!D11)</f>
        <v>4Χ220- 1Χ250</v>
      </c>
      <c r="N21" s="703"/>
      <c r="O21" s="111"/>
      <c r="P21" s="64"/>
      <c r="Q21" s="64"/>
      <c r="R21" s="64"/>
      <c r="S21" s="142">
        <v>1</v>
      </c>
      <c r="T21" s="143">
        <f>(G21*I21)/100</f>
        <v>47.25</v>
      </c>
      <c r="U21" s="142">
        <f t="shared" si="0"/>
        <v>47.25</v>
      </c>
      <c r="V21" s="142">
        <f>U21*S21</f>
        <v>47.25</v>
      </c>
      <c r="W21" s="142">
        <f>Sheet2!B17</f>
        <v>200</v>
      </c>
      <c r="X21" s="144">
        <f>W21*V21</f>
        <v>9450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62802.366638974447</v>
      </c>
      <c r="Z22" s="151"/>
      <c r="AA22" s="60"/>
      <c r="AB22" s="60"/>
    </row>
    <row r="23" ht="20.1" customHeight="1">
      <c r="A23" s="704" t="s">
        <v>388</v>
      </c>
      <c r="B23" s="705"/>
      <c r="C23" s="705"/>
      <c r="D23" s="705"/>
      <c r="E23" s="706"/>
      <c r="F23" s="67" t="s">
        <v>389</v>
      </c>
      <c r="G23" s="68"/>
      <c r="H23" s="704" t="s">
        <v>390</v>
      </c>
      <c r="I23" s="705"/>
      <c r="J23" s="705"/>
      <c r="K23" s="705"/>
      <c r="L23" s="706"/>
      <c r="M23" s="67" t="s">
        <v>369</v>
      </c>
      <c r="N23" s="119"/>
      <c r="O23" s="119"/>
      <c r="P23" s="120"/>
      <c r="Q23" s="120"/>
      <c r="R23" s="120"/>
      <c r="S23" s="146"/>
      <c r="T23" s="147" t="s">
        <v>391</v>
      </c>
      <c r="U23" s="146" t="s">
        <v>392</v>
      </c>
      <c r="V23" s="146" t="s">
        <v>393</v>
      </c>
      <c r="W23" s="146" t="s">
        <v>394</v>
      </c>
      <c r="X23" s="146" t="s">
        <v>392</v>
      </c>
      <c r="Y23" s="146" t="s">
        <v>393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7" t="s">
        <v>395</v>
      </c>
      <c r="C24" s="707"/>
      <c r="D24" s="707"/>
      <c r="E24" s="707"/>
      <c r="F24" s="70">
        <f>L11</f>
        <v>3</v>
      </c>
      <c r="G24" s="71"/>
      <c r="H24" s="69">
        <v>16</v>
      </c>
      <c r="I24" s="707" t="s">
        <v>296</v>
      </c>
      <c r="J24" s="707"/>
      <c r="K24" s="707"/>
      <c r="L24" s="707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21000</v>
      </c>
      <c r="Z24" s="151"/>
      <c r="AA24" s="60">
        <f>V24*F24</f>
        <v>390</v>
      </c>
      <c r="AB24" s="60">
        <f>Y24*M24</f>
        <v>21000</v>
      </c>
    </row>
    <row r="25" ht="20.1" customHeight="1">
      <c r="A25" s="72">
        <v>2</v>
      </c>
      <c r="B25" s="693" t="s">
        <v>396</v>
      </c>
      <c r="C25" s="693"/>
      <c r="D25" s="693"/>
      <c r="E25" s="693"/>
      <c r="F25" s="73">
        <f>L11</f>
        <v>3</v>
      </c>
      <c r="G25" s="71"/>
      <c r="H25" s="72">
        <v>17</v>
      </c>
      <c r="I25" s="693" t="s">
        <v>229</v>
      </c>
      <c r="J25" s="693"/>
      <c r="K25" s="693"/>
      <c r="L25" s="693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66</v>
      </c>
      <c r="AB25" s="60">
        <f ref="AB25:AB38" t="shared" si="11">Y25*M25</f>
        <v>2000</v>
      </c>
    </row>
    <row r="26" ht="20.1" customHeight="1">
      <c r="A26" s="72">
        <v>3</v>
      </c>
      <c r="B26" s="693" t="s">
        <v>397</v>
      </c>
      <c r="C26" s="693"/>
      <c r="D26" s="693"/>
      <c r="E26" s="693"/>
      <c r="F26" s="73">
        <f>M24</f>
        <v>1</v>
      </c>
      <c r="G26" s="71"/>
      <c r="H26" s="72">
        <v>18</v>
      </c>
      <c r="I26" s="693" t="s">
        <v>398</v>
      </c>
      <c r="J26" s="693"/>
      <c r="K26" s="693"/>
      <c r="L26" s="693"/>
      <c r="M26" s="73">
        <f>(F24*2)-M27</f>
        <v>5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265</v>
      </c>
    </row>
    <row r="27" ht="20.1" customHeight="1">
      <c r="A27" s="72">
        <v>4</v>
      </c>
      <c r="B27" s="690" t="s">
        <v>399</v>
      </c>
      <c r="C27" s="691"/>
      <c r="D27" s="691"/>
      <c r="E27" s="692"/>
      <c r="F27" s="73">
        <v>4</v>
      </c>
      <c r="G27" s="71"/>
      <c r="H27" s="72">
        <v>19</v>
      </c>
      <c r="I27" s="693" t="s">
        <v>400</v>
      </c>
      <c r="J27" s="693"/>
      <c r="K27" s="693"/>
      <c r="L27" s="693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90" t="s">
        <v>401</v>
      </c>
      <c r="C28" s="691"/>
      <c r="D28" s="691"/>
      <c r="E28" s="692"/>
      <c r="F28" s="73">
        <f>L14</f>
        <v>12</v>
      </c>
      <c r="G28" s="71"/>
      <c r="H28" s="72">
        <v>20</v>
      </c>
      <c r="I28" s="693" t="s">
        <v>402</v>
      </c>
      <c r="J28" s="693"/>
      <c r="K28" s="693"/>
      <c r="L28" s="693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36</v>
      </c>
      <c r="AB28" s="60">
        <f t="shared" si="11"/>
        <v>1320</v>
      </c>
    </row>
    <row r="29" ht="20.1" customHeight="1">
      <c r="A29" s="72">
        <v>6</v>
      </c>
      <c r="B29" s="690" t="s">
        <v>403</v>
      </c>
      <c r="C29" s="691"/>
      <c r="D29" s="691"/>
      <c r="E29" s="692"/>
      <c r="F29" s="73">
        <f>L11*2</f>
        <v>6</v>
      </c>
      <c r="G29" s="71"/>
      <c r="H29" s="72">
        <v>21</v>
      </c>
      <c r="I29" s="693" t="s">
        <v>230</v>
      </c>
      <c r="J29" s="693"/>
      <c r="K29" s="693"/>
      <c r="L29" s="693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12</v>
      </c>
      <c r="AB29" s="60">
        <f t="shared" si="11"/>
        <v>4500</v>
      </c>
    </row>
    <row r="30" ht="20.1" customHeight="1">
      <c r="A30" s="72">
        <v>7</v>
      </c>
      <c r="B30" s="690" t="s">
        <v>404</v>
      </c>
      <c r="C30" s="691"/>
      <c r="D30" s="691"/>
      <c r="E30" s="692"/>
      <c r="F30" s="73">
        <f>L14*L11</f>
        <v>36</v>
      </c>
      <c r="G30" s="71"/>
      <c r="H30" s="72">
        <v>22</v>
      </c>
      <c r="I30" s="693" t="s">
        <v>231</v>
      </c>
      <c r="J30" s="693"/>
      <c r="K30" s="693"/>
      <c r="L30" s="693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72</v>
      </c>
      <c r="AB30" s="60">
        <f t="shared" si="11"/>
        <v>4500</v>
      </c>
    </row>
    <row r="31" ht="20.1" customHeight="1">
      <c r="A31" s="72">
        <v>8</v>
      </c>
      <c r="B31" s="690" t="s">
        <v>405</v>
      </c>
      <c r="C31" s="691"/>
      <c r="D31" s="691"/>
      <c r="E31" s="692"/>
      <c r="F31" s="73">
        <f>(L14+N14)*2</f>
        <v>28</v>
      </c>
      <c r="G31" s="71"/>
      <c r="H31" s="72">
        <v>23</v>
      </c>
      <c r="I31" s="693" t="s">
        <v>406</v>
      </c>
      <c r="J31" s="693"/>
      <c r="K31" s="693"/>
      <c r="L31" s="693"/>
      <c r="M31" s="73">
        <f>F30</f>
        <v>36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56</v>
      </c>
      <c r="AB31" s="60">
        <f t="shared" si="11"/>
        <v>2880</v>
      </c>
    </row>
    <row r="32" ht="20.1" customHeight="1">
      <c r="A32" s="72">
        <v>9</v>
      </c>
      <c r="B32" s="690" t="s">
        <v>407</v>
      </c>
      <c r="C32" s="691"/>
      <c r="D32" s="691"/>
      <c r="E32" s="692"/>
      <c r="F32" s="73">
        <f>(L14+N14)*2</f>
        <v>28</v>
      </c>
      <c r="G32" s="71"/>
      <c r="H32" s="72">
        <v>24</v>
      </c>
      <c r="I32" s="693" t="s">
        <v>408</v>
      </c>
      <c r="J32" s="693"/>
      <c r="K32" s="693"/>
      <c r="L32" s="693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140</v>
      </c>
      <c r="AB32" s="60">
        <f t="shared" si="11"/>
        <v>270</v>
      </c>
    </row>
    <row r="33" ht="20.1" customHeight="1" s="58" customFormat="1">
      <c r="A33" s="72">
        <v>10</v>
      </c>
      <c r="B33" s="690" t="s">
        <v>409</v>
      </c>
      <c r="C33" s="691"/>
      <c r="D33" s="691"/>
      <c r="E33" s="692"/>
      <c r="F33" s="73">
        <f>L11*3</f>
        <v>9</v>
      </c>
      <c r="G33" s="71"/>
      <c r="H33" s="72">
        <v>25</v>
      </c>
      <c r="I33" s="693" t="s">
        <v>410</v>
      </c>
      <c r="J33" s="693"/>
      <c r="K33" s="693"/>
      <c r="L33" s="693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31.5</v>
      </c>
      <c r="AB33" s="60">
        <f t="shared" si="11"/>
        <v>495</v>
      </c>
    </row>
    <row r="34" ht="20.1" customHeight="1" s="58" customFormat="1">
      <c r="A34" s="72">
        <v>11</v>
      </c>
      <c r="B34" s="690" t="s">
        <v>411</v>
      </c>
      <c r="C34" s="691"/>
      <c r="D34" s="691"/>
      <c r="E34" s="692"/>
      <c r="F34" s="73">
        <f>L11*3</f>
        <v>9</v>
      </c>
      <c r="G34" s="71"/>
      <c r="H34" s="72">
        <v>26</v>
      </c>
      <c r="I34" s="693" t="s">
        <v>232</v>
      </c>
      <c r="J34" s="693"/>
      <c r="K34" s="693"/>
      <c r="L34" s="693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31.5</v>
      </c>
      <c r="AB34" s="60">
        <f t="shared" si="11"/>
        <v>0</v>
      </c>
    </row>
    <row r="35" ht="20.1" customHeight="1" s="58" customFormat="1">
      <c r="A35" s="72">
        <v>12</v>
      </c>
      <c r="B35" s="690" t="s">
        <v>412</v>
      </c>
      <c r="C35" s="691"/>
      <c r="D35" s="691"/>
      <c r="E35" s="692"/>
      <c r="F35" s="73">
        <f>IF(L11&gt;2,(L11-2)*2,"0")</f>
        <v>2</v>
      </c>
      <c r="G35" s="74"/>
      <c r="H35" s="72">
        <v>27</v>
      </c>
      <c r="I35" s="693" t="s">
        <v>233</v>
      </c>
      <c r="J35" s="693"/>
      <c r="K35" s="693"/>
      <c r="L35" s="693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90</v>
      </c>
      <c r="AB35" s="60">
        <f t="shared" si="11"/>
        <v>0</v>
      </c>
    </row>
    <row r="36" ht="20.1" customHeight="1" s="58" customFormat="1">
      <c r="A36" s="72">
        <v>13</v>
      </c>
      <c r="B36" s="690" t="s">
        <v>413</v>
      </c>
      <c r="C36" s="691"/>
      <c r="D36" s="691"/>
      <c r="E36" s="692"/>
      <c r="F36" s="73">
        <f>IF(L11&gt;2,(L11-2)*L14,"0")</f>
        <v>12</v>
      </c>
      <c r="G36" s="74"/>
      <c r="H36" s="72">
        <v>28</v>
      </c>
      <c r="I36" s="693" t="s">
        <v>414</v>
      </c>
      <c r="J36" s="693"/>
      <c r="K36" s="693"/>
      <c r="L36" s="693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360</v>
      </c>
      <c r="AB36" s="60">
        <f t="shared" si="11"/>
        <v>200</v>
      </c>
    </row>
    <row r="37" ht="20.1" customHeight="1" s="58" customFormat="1">
      <c r="A37" s="72">
        <v>14</v>
      </c>
      <c r="B37" s="690" t="s">
        <v>415</v>
      </c>
      <c r="C37" s="691"/>
      <c r="D37" s="691"/>
      <c r="E37" s="692"/>
      <c r="F37" s="73">
        <f>M24</f>
        <v>1</v>
      </c>
      <c r="G37" s="74"/>
      <c r="H37" s="72">
        <v>29</v>
      </c>
      <c r="I37" s="693" t="s">
        <v>416</v>
      </c>
      <c r="J37" s="693"/>
      <c r="K37" s="693"/>
      <c r="L37" s="693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135</v>
      </c>
    </row>
    <row r="38" ht="18.6" customHeight="1" s="58" customFormat="1">
      <c r="A38" s="72">
        <v>15</v>
      </c>
      <c r="B38" s="693" t="s">
        <v>234</v>
      </c>
      <c r="C38" s="693"/>
      <c r="D38" s="693"/>
      <c r="E38" s="693"/>
      <c r="F38" s="73">
        <f>تسجيل1!C21</f>
        <v>20</v>
      </c>
      <c r="G38" s="74"/>
      <c r="H38" s="72">
        <v>30</v>
      </c>
      <c r="I38" s="693" t="s">
        <v>417</v>
      </c>
      <c r="J38" s="693"/>
      <c r="K38" s="693"/>
      <c r="L38" s="693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120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0"/>
        <v>2400</v>
      </c>
      <c r="AB38" s="60">
        <f t="shared" si="11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0">
        <f>SUM(AA24:AB38)</f>
        <v>41516.1</v>
      </c>
      <c r="AB39" s="680"/>
    </row>
    <row r="40" ht="20.45" customHeight="1" s="58" customFormat="1">
      <c r="A40" s="694" t="s">
        <v>418</v>
      </c>
      <c r="B40" s="695"/>
      <c r="C40" s="695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0"/>
      <c r="AB40" s="680"/>
    </row>
    <row r="41" ht="18.75" customHeight="1" s="58" customFormat="1">
      <c r="A41" s="681" t="str">
        <f>IF(Format!I5=1,"-------",IF(Format!I5=2,Format!I3,Format!I4))</f>
        <v>صونفي </v>
      </c>
      <c r="B41" s="682"/>
      <c r="C41" s="683"/>
      <c r="D41" s="81"/>
      <c r="E41" s="81"/>
      <c r="F41" s="76"/>
      <c r="G41" s="68"/>
      <c r="H41" s="75"/>
      <c r="I41" s="81"/>
      <c r="J41" s="81"/>
      <c r="K41" s="81"/>
      <c r="L41" s="696" t="s">
        <v>289</v>
      </c>
      <c r="M41" s="697"/>
      <c r="N41" s="698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699">
        <f>AA39+X22+U8</f>
        <v>117030.99063897444</v>
      </c>
      <c r="AB41" s="699"/>
    </row>
    <row r="42" ht="13.9" customHeight="1" s="58" customFormat="1">
      <c r="A42" s="681"/>
      <c r="B42" s="682"/>
      <c r="C42" s="683"/>
      <c r="D42" s="10"/>
      <c r="E42" s="10"/>
      <c r="F42" s="10"/>
      <c r="G42" s="10"/>
      <c r="H42" s="10"/>
      <c r="I42" s="10"/>
      <c r="J42" s="10"/>
      <c r="K42" s="10"/>
      <c r="L42" s="659" t="str">
        <f>IF(Format!B5=1,Format!B2,IF(Format!B5=2,Format!B3,تسجيل1!F4))</f>
        <v>بيج  Ral 1013</v>
      </c>
      <c r="M42" s="660"/>
      <c r="N42" s="66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2" t="str">
        <f>IF(Format!P5=1,"Τηλεχειρισμος",IF(Format!P5=2,"-------","Διακοπτης"))</f>
        <v>Τηλεχειρισμος</v>
      </c>
      <c r="B43" s="663"/>
      <c r="C43" s="664"/>
      <c r="D43" s="10"/>
      <c r="E43" s="10"/>
      <c r="F43" s="10"/>
      <c r="G43" s="10"/>
      <c r="H43" s="10"/>
      <c r="I43" s="10"/>
      <c r="J43" s="10"/>
      <c r="K43" s="10"/>
      <c r="L43" s="665" t="s">
        <v>290</v>
      </c>
      <c r="M43" s="666"/>
      <c r="N43" s="66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8" t="str">
        <f>IF(Format!C8=1,Format!C2,IF(Format!C8=2,Format!C3,IF(Format!C8=3,Format!C4,IF(Format!C8=4,Format!C5,IF(Format!C8=5,Format!C6,تسجيل1!F5)))))</f>
        <v>بيج  Ral 1013</v>
      </c>
      <c r="M44" s="669"/>
      <c r="N44" s="67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71" t="str">
        <f>A3</f>
        <v>اسم العميل </v>
      </c>
      <c r="B96" s="672"/>
      <c r="C96" s="67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499</v>
      </c>
      <c r="L97" s="177" t="str">
        <f>M8</f>
        <v>Χ</v>
      </c>
      <c r="M97" s="673">
        <f>N8</f>
        <v>772</v>
      </c>
      <c r="N97" s="67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5" t="str">
        <f>L44</f>
        <v>بيج  Ral 1013</v>
      </c>
      <c r="K98" s="676"/>
      <c r="L98" s="676"/>
      <c r="M98" s="676"/>
      <c r="N98" s="67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8" t="s">
        <v>419</v>
      </c>
      <c r="K1" s="658"/>
      <c r="L1" s="658"/>
      <c r="M1" s="658"/>
      <c r="N1" s="658"/>
      <c r="O1" s="658"/>
      <c r="P1" s="658"/>
      <c r="Q1" s="658"/>
      <c r="R1" s="658"/>
      <c r="S1" s="658"/>
    </row>
    <row r="2" ht="18" customHeight="1">
      <c r="A2" s="11" t="s">
        <v>357</v>
      </c>
      <c r="B2" s="651">
        <f>Royal!C3</f>
        <v>0</v>
      </c>
      <c r="C2" s="652"/>
      <c r="D2" s="652"/>
      <c r="E2" s="652"/>
      <c r="F2" s="653"/>
      <c r="G2" s="1">
        <v>2</v>
      </c>
      <c r="J2" s="658"/>
      <c r="K2" s="658"/>
      <c r="L2" s="658"/>
      <c r="M2" s="658"/>
      <c r="N2" s="658"/>
      <c r="O2" s="658"/>
      <c r="P2" s="658"/>
      <c r="Q2" s="658"/>
      <c r="R2" s="658"/>
      <c r="S2" s="658"/>
    </row>
    <row r="3" ht="18" customHeight="1">
      <c r="A3" s="11" t="s">
        <v>420</v>
      </c>
      <c r="F3" s="650" t="s">
        <v>421</v>
      </c>
      <c r="G3" s="650"/>
    </row>
    <row r="4" ht="18" customHeight="1">
      <c r="A4" s="11" t="s">
        <v>289</v>
      </c>
      <c r="F4" s="654" t="s">
        <v>422</v>
      </c>
      <c r="G4" s="655"/>
      <c r="H4" s="655"/>
      <c r="I4" s="656"/>
      <c r="J4" s="10"/>
    </row>
    <row r="5" ht="18" customHeight="1">
      <c r="A5" s="11" t="s">
        <v>290</v>
      </c>
      <c r="F5" s="657" t="s">
        <v>423</v>
      </c>
      <c r="G5" s="648"/>
      <c r="H5" s="648"/>
      <c r="I5" s="649"/>
      <c r="J5" s="10"/>
    </row>
    <row r="6" ht="18" customHeight="1">
      <c r="A6" s="11" t="s">
        <v>361</v>
      </c>
      <c r="Q6" s="642"/>
      <c r="R6" s="642"/>
      <c r="S6" s="642"/>
    </row>
    <row r="7" ht="18" customHeight="1">
      <c r="B7" s="180" t="s">
        <v>125</v>
      </c>
      <c r="C7" s="181">
        <f>تسعير!AA33</f>
        <v>1200</v>
      </c>
      <c r="D7" s="182" t="s">
        <v>424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291</v>
      </c>
    </row>
    <row r="10" ht="18" customHeight="1">
      <c r="A10" s="11" t="s">
        <v>292</v>
      </c>
    </row>
    <row r="11" ht="18" customHeight="1">
      <c r="A11" s="11" t="s">
        <v>308</v>
      </c>
      <c r="B11" s="637" t="s">
        <v>425</v>
      </c>
      <c r="C11" s="638"/>
      <c r="D11" s="648" t="s">
        <v>426</v>
      </c>
      <c r="E11" s="649"/>
    </row>
    <row r="12" ht="18" customHeight="1">
      <c r="A12" s="11" t="s">
        <v>293</v>
      </c>
    </row>
    <row r="13" ht="18" customHeight="1">
      <c r="A13" s="11" t="s">
        <v>427</v>
      </c>
    </row>
    <row r="14" ht="18" customHeight="1"/>
    <row r="15" ht="24.6" customHeight="1">
      <c r="A15" s="11" t="s">
        <v>296</v>
      </c>
      <c r="Q15" s="642"/>
      <c r="R15" s="642"/>
      <c r="S15" s="642"/>
    </row>
    <row r="16" ht="18" customHeight="1">
      <c r="C16" s="650" t="s">
        <v>428</v>
      </c>
      <c r="D16" s="650"/>
      <c r="E16" s="650"/>
      <c r="F16" s="1" t="s">
        <v>429</v>
      </c>
    </row>
    <row r="17" ht="18" customHeight="1">
      <c r="A17" s="650" t="s">
        <v>294</v>
      </c>
      <c r="B17" s="650"/>
      <c r="C17" s="650"/>
    </row>
    <row r="18" ht="18" customHeight="1">
      <c r="A18" s="639" t="s">
        <v>430</v>
      </c>
      <c r="B18" s="640"/>
      <c r="C18" s="14">
        <f>'Format Φωτισμου (2)'!B9</f>
        <v>5</v>
      </c>
    </row>
    <row r="19" ht="18" customHeight="1">
      <c r="A19" s="639" t="s">
        <v>431</v>
      </c>
      <c r="B19" s="640"/>
      <c r="C19" s="14">
        <f>'Format Φωτισμου (2)'!B12</f>
        <v>35</v>
      </c>
    </row>
    <row r="20" ht="18" customHeight="1">
      <c r="A20" s="639" t="s">
        <v>432</v>
      </c>
      <c r="B20" s="640"/>
      <c r="C20" s="14">
        <f>C19/C18</f>
        <v>7</v>
      </c>
    </row>
    <row r="21" ht="18" customHeight="1">
      <c r="A21" s="644" t="s">
        <v>433</v>
      </c>
      <c r="B21" s="645"/>
      <c r="C21" s="646">
        <v>20</v>
      </c>
      <c r="D21" s="647"/>
      <c r="E21" s="637" t="s">
        <v>434</v>
      </c>
      <c r="F21" s="638"/>
      <c r="G21" s="638"/>
      <c r="H21" s="14">
        <f>C21/C18</f>
        <v>4</v>
      </c>
      <c r="J21" s="643"/>
      <c r="K21" s="643"/>
      <c r="L21" s="643"/>
      <c r="M21" s="643"/>
      <c r="N21" s="643"/>
      <c r="O21" s="643"/>
      <c r="P21" s="643"/>
      <c r="Q21" s="643"/>
      <c r="R21" s="643"/>
      <c r="S21" s="643"/>
    </row>
    <row r="22" ht="18" customHeight="1">
      <c r="A22" s="639" t="s">
        <v>435</v>
      </c>
      <c r="B22" s="640"/>
      <c r="C22" s="179">
        <v>50</v>
      </c>
      <c r="D22" s="184" t="s">
        <v>436</v>
      </c>
      <c r="J22" s="643"/>
      <c r="K22" s="643"/>
      <c r="L22" s="643"/>
      <c r="M22" s="643"/>
      <c r="N22" s="643"/>
      <c r="O22" s="643"/>
      <c r="P22" s="643"/>
      <c r="Q22" s="643"/>
      <c r="R22" s="643"/>
      <c r="S22" s="643"/>
    </row>
    <row r="23" ht="18" customHeight="1">
      <c r="J23" s="643"/>
      <c r="K23" s="643"/>
      <c r="L23" s="643"/>
      <c r="M23" s="643"/>
      <c r="N23" s="643"/>
      <c r="O23" s="643"/>
      <c r="P23" s="643"/>
      <c r="Q23" s="643"/>
      <c r="R23" s="643"/>
      <c r="S23" s="643"/>
    </row>
    <row r="24" ht="18" customHeight="1"/>
    <row r="25" ht="18" customHeight="1">
      <c r="A25" s="11" t="s">
        <v>437</v>
      </c>
      <c r="J25" s="641"/>
      <c r="K25" s="641"/>
      <c r="L25" s="641"/>
      <c r="M25" s="641"/>
      <c r="N25" s="641"/>
      <c r="O25" s="641"/>
      <c r="P25" s="641"/>
      <c r="Q25" s="641"/>
      <c r="R25" s="15"/>
      <c r="S25" s="10"/>
    </row>
    <row r="26" ht="18" customHeight="1">
      <c r="G26" s="1" t="s">
        <v>438</v>
      </c>
      <c r="H26" s="1" t="s">
        <v>439</v>
      </c>
    </row>
    <row r="27" ht="18" customHeight="1">
      <c r="A27" s="11" t="s">
        <v>305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42"/>
      <c r="K27" s="642"/>
      <c r="L27" s="642"/>
      <c r="M27" s="642"/>
      <c r="N27" s="642"/>
      <c r="O27" s="642"/>
      <c r="P27" s="642"/>
      <c r="Q27" s="642"/>
      <c r="R27" s="642"/>
      <c r="S27" s="642"/>
    </row>
    <row r="28" ht="18" customHeight="1">
      <c r="A28" s="11" t="s">
        <v>306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308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6" t="s">
        <v>354</v>
      </c>
      <c r="B1" s="737"/>
      <c r="C1" s="737"/>
      <c r="D1" s="737"/>
      <c r="E1" s="737"/>
      <c r="F1" s="737"/>
      <c r="G1" s="737"/>
      <c r="H1" s="737"/>
      <c r="I1" s="737"/>
      <c r="J1" s="737"/>
      <c r="K1" s="737"/>
      <c r="L1" s="737"/>
      <c r="M1" s="737"/>
      <c r="N1" s="738"/>
      <c r="O1" s="87"/>
      <c r="P1" s="88"/>
      <c r="Q1" s="88"/>
      <c r="R1" s="88"/>
      <c r="W1" s="136">
        <f>IF(تسعير!T26="سادة",Royal2!J2+20000,IF(تسعير!T26="خشبي",Royal2!J2+40000,0))</f>
        <v>250000</v>
      </c>
      <c r="X1" s="60" t="s">
        <v>355</v>
      </c>
      <c r="Y1" s="136" t="e">
        <f>Royal!#REF!</f>
        <v>#REF!</v>
      </c>
      <c r="Z1" s="151" t="s">
        <v>356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51" t="s">
        <v>357</v>
      </c>
      <c r="B3" s="751"/>
      <c r="C3" s="751"/>
      <c r="D3" s="753">
        <f>تسجيل1!B2</f>
        <v>0</v>
      </c>
      <c r="E3" s="753"/>
      <c r="F3" s="753"/>
      <c r="G3" s="753"/>
      <c r="H3" s="753"/>
      <c r="I3" s="753"/>
      <c r="J3" s="753"/>
      <c r="K3" s="753"/>
      <c r="L3" s="753"/>
      <c r="M3" s="739" t="s">
        <v>358</v>
      </c>
      <c r="N3" s="739"/>
      <c r="O3" s="89"/>
      <c r="P3" s="90"/>
      <c r="Q3" s="90"/>
      <c r="R3" s="90"/>
      <c r="Z3" s="151"/>
      <c r="AA3" s="60"/>
      <c r="AB3" s="60"/>
    </row>
    <row r="4" ht="13.5" customHeight="1">
      <c r="A4" s="752"/>
      <c r="B4" s="752"/>
      <c r="C4" s="752"/>
      <c r="D4" s="754"/>
      <c r="E4" s="754"/>
      <c r="F4" s="754"/>
      <c r="G4" s="753"/>
      <c r="H4" s="753"/>
      <c r="I4" s="754"/>
      <c r="J4" s="754"/>
      <c r="K4" s="754"/>
      <c r="L4" s="754"/>
      <c r="M4" s="740"/>
      <c r="N4" s="740"/>
      <c r="O4" s="91"/>
      <c r="P4" s="92"/>
      <c r="Q4" s="92"/>
      <c r="R4" s="92"/>
      <c r="Z4" s="151"/>
      <c r="AA4" s="60"/>
      <c r="AB4" s="60"/>
    </row>
    <row r="5" ht="13.5" customHeight="1">
      <c r="A5" s="741" t="e">
        <f>Y1</f>
        <v>#REF!</v>
      </c>
      <c r="B5" s="742"/>
      <c r="C5" s="743"/>
      <c r="D5" s="744" t="s">
        <v>356</v>
      </c>
      <c r="E5" s="745"/>
      <c r="F5" s="746"/>
      <c r="G5" s="63"/>
      <c r="H5" s="63"/>
      <c r="I5" s="741">
        <f>W1</f>
        <v>250000</v>
      </c>
      <c r="J5" s="742"/>
      <c r="K5" s="743"/>
      <c r="L5" s="744" t="s">
        <v>359</v>
      </c>
      <c r="M5" s="745"/>
      <c r="N5" s="746"/>
      <c r="O5" s="93"/>
      <c r="P5" s="92"/>
      <c r="Q5" s="92"/>
      <c r="R5" s="92"/>
      <c r="Z5" s="151"/>
      <c r="AA5" s="60"/>
      <c r="AB5" s="60"/>
    </row>
    <row r="6" ht="16.5" customHeight="1">
      <c r="A6" s="684" t="s">
        <v>252</v>
      </c>
      <c r="B6" s="685"/>
      <c r="C6" s="686"/>
      <c r="D6" s="678" t="s">
        <v>360</v>
      </c>
      <c r="E6" s="747" t="s">
        <v>361</v>
      </c>
      <c r="F6" s="748"/>
      <c r="G6" s="721"/>
      <c r="H6" s="721"/>
      <c r="I6" s="748"/>
      <c r="J6" s="749"/>
      <c r="K6" s="750">
        <f>تسجيل2!C7</f>
        <v>1200</v>
      </c>
      <c r="L6" s="750"/>
      <c r="M6" s="94" t="s">
        <v>362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4"/>
      <c r="B7" s="685"/>
      <c r="C7" s="686"/>
      <c r="D7" s="678"/>
      <c r="E7" s="720" t="s">
        <v>363</v>
      </c>
      <c r="F7" s="721"/>
      <c r="G7" s="721"/>
      <c r="H7" s="721"/>
      <c r="I7" s="721"/>
      <c r="J7" s="722"/>
      <c r="K7" s="723">
        <f>K6*N6/10000</f>
        <v>96</v>
      </c>
      <c r="L7" s="723"/>
      <c r="M7" s="723"/>
      <c r="N7" s="98" t="s">
        <v>364</v>
      </c>
      <c r="O7" s="99">
        <f>AA41/K7</f>
        <v>2124.2963443004232</v>
      </c>
      <c r="S7" s="60" t="s">
        <v>127</v>
      </c>
      <c r="T7" s="61" t="s">
        <v>365</v>
      </c>
      <c r="Z7" s="151"/>
      <c r="AA7" s="60"/>
      <c r="AB7" s="60"/>
    </row>
    <row r="8">
      <c r="A8" s="687"/>
      <c r="B8" s="688"/>
      <c r="C8" s="689"/>
      <c r="D8" s="679"/>
      <c r="E8" s="724" t="s">
        <v>366</v>
      </c>
      <c r="F8" s="725"/>
      <c r="G8" s="725"/>
      <c r="H8" s="725"/>
      <c r="I8" s="725"/>
      <c r="J8" s="726"/>
      <c r="K8" s="727">
        <f>K6-1</f>
        <v>1199</v>
      </c>
      <c r="L8" s="727"/>
      <c r="M8" s="100" t="s">
        <v>367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203932.44905284065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8" t="s">
        <v>368</v>
      </c>
      <c r="B10" s="728"/>
      <c r="C10" s="728"/>
      <c r="D10" s="728"/>
      <c r="E10" s="728"/>
      <c r="F10" s="728"/>
      <c r="G10" s="729" t="s">
        <v>369</v>
      </c>
      <c r="H10" s="729"/>
      <c r="I10" s="729" t="s">
        <v>370</v>
      </c>
      <c r="J10" s="729"/>
      <c r="K10" s="104"/>
      <c r="L10" s="730" t="s">
        <v>305</v>
      </c>
      <c r="M10" s="730"/>
      <c r="N10" s="730"/>
      <c r="O10" s="105"/>
      <c r="P10" s="97"/>
      <c r="Q10" s="97"/>
      <c r="R10" s="97"/>
      <c r="S10" s="90" t="s">
        <v>371</v>
      </c>
      <c r="T10" s="90" t="s">
        <v>372</v>
      </c>
      <c r="U10" s="90" t="s">
        <v>373</v>
      </c>
      <c r="V10" s="90" t="s">
        <v>374</v>
      </c>
      <c r="W10" s="60" t="s">
        <v>375</v>
      </c>
      <c r="X10" s="60" t="s">
        <v>221</v>
      </c>
      <c r="Z10" s="151"/>
      <c r="AA10" s="60"/>
      <c r="AB10" s="60"/>
    </row>
    <row r="11" ht="20.1" customHeight="1">
      <c r="A11" s="731" t="s">
        <v>376</v>
      </c>
      <c r="B11" s="732"/>
      <c r="C11" s="732"/>
      <c r="D11" s="732"/>
      <c r="E11" s="732"/>
      <c r="F11" s="733"/>
      <c r="G11" s="734">
        <f>L11</f>
        <v>4</v>
      </c>
      <c r="H11" s="734"/>
      <c r="I11" s="735">
        <f>'Format διαστασης οδηγου (2)'!F8</f>
        <v>765</v>
      </c>
      <c r="J11" s="735"/>
      <c r="K11" s="106"/>
      <c r="L11" s="730">
        <f>IF(Format!A7=1,تسجيل2!H27,IF(Format!A7=2,تسجيل2!H27,IF(Format!A7=3,تسجيل2!H27,IF(Format!A7=4,تسجيل2!H27,IF(Format!A7=5,تسجيل2!H27,"-------")))))</f>
        <v>4</v>
      </c>
      <c r="M11" s="730"/>
      <c r="N11" s="730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35650.216450216481</v>
      </c>
      <c r="Z11" s="151"/>
      <c r="AA11" s="60"/>
      <c r="AB11" s="60"/>
    </row>
    <row r="12" ht="20.1" customHeight="1">
      <c r="A12" s="708" t="s">
        <v>377</v>
      </c>
      <c r="B12" s="708"/>
      <c r="C12" s="708"/>
      <c r="D12" s="708"/>
      <c r="E12" s="708"/>
      <c r="F12" s="708"/>
      <c r="G12" s="709">
        <f>IF(L11&gt;2,4,IF(L11=2,2))</f>
        <v>4</v>
      </c>
      <c r="H12" s="709"/>
      <c r="I12" s="710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10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7455.1495016611207</v>
      </c>
      <c r="Z12" s="151"/>
      <c r="AA12" s="60"/>
      <c r="AB12" s="60"/>
    </row>
    <row r="13" ht="20.1" customHeight="1">
      <c r="A13" s="708" t="s">
        <v>378</v>
      </c>
      <c r="B13" s="708"/>
      <c r="C13" s="708"/>
      <c r="D13" s="708"/>
      <c r="E13" s="708"/>
      <c r="F13" s="708"/>
      <c r="G13" s="709">
        <f>IF(L11&lt;=3,"0",(L11-3)*2)</f>
        <v>2</v>
      </c>
      <c r="H13" s="709"/>
      <c r="I13" s="710">
        <f>IF(G13="-------","-------",L17-5)</f>
        <v>392</v>
      </c>
      <c r="J13" s="710"/>
      <c r="K13" s="106"/>
      <c r="L13" s="719" t="s">
        <v>279</v>
      </c>
      <c r="M13" s="719"/>
      <c r="N13" s="719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3727.5747508305603</v>
      </c>
      <c r="Z13" s="151"/>
      <c r="AA13" s="60"/>
      <c r="AB13" s="60"/>
    </row>
    <row r="14" ht="20.1" customHeight="1">
      <c r="A14" s="708" t="s">
        <v>379</v>
      </c>
      <c r="B14" s="708"/>
      <c r="C14" s="708"/>
      <c r="D14" s="708"/>
      <c r="E14" s="708"/>
      <c r="F14" s="708"/>
      <c r="G14" s="709">
        <f>IF(L11&gt;2,2*L14,IF(L11=2,L14))</f>
        <v>24</v>
      </c>
      <c r="H14" s="709"/>
      <c r="I14" s="710">
        <f>I12</f>
        <v>398.5</v>
      </c>
      <c r="J14" s="710"/>
      <c r="K14" s="106"/>
      <c r="L14" s="109">
        <f>تسجيل2!H28</f>
        <v>12</v>
      </c>
      <c r="M14" s="110" t="s">
        <v>283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25241.379310344724</v>
      </c>
      <c r="Z14" s="151"/>
      <c r="AA14" s="60"/>
      <c r="AB14" s="60"/>
    </row>
    <row r="15" ht="20.1" customHeight="1">
      <c r="A15" s="708" t="s">
        <v>380</v>
      </c>
      <c r="B15" s="708"/>
      <c r="C15" s="708"/>
      <c r="D15" s="708"/>
      <c r="E15" s="708"/>
      <c r="F15" s="708"/>
      <c r="G15" s="709">
        <f>IF(L11&lt;=3,"0",(L11-3)*L14)</f>
        <v>12</v>
      </c>
      <c r="H15" s="709"/>
      <c r="I15" s="710">
        <f>IF(G15="-------","---------",I13)</f>
        <v>392</v>
      </c>
      <c r="J15" s="710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12620.689655172362</v>
      </c>
      <c r="Z15" s="151"/>
      <c r="AA15" s="60"/>
      <c r="AB15" s="60"/>
    </row>
    <row r="16" ht="20.1" customHeight="1">
      <c r="A16" s="708" t="s">
        <v>381</v>
      </c>
      <c r="B16" s="708"/>
      <c r="C16" s="708"/>
      <c r="D16" s="708"/>
      <c r="E16" s="708"/>
      <c r="F16" s="708"/>
      <c r="G16" s="709">
        <v>1</v>
      </c>
      <c r="H16" s="709"/>
      <c r="I16" s="710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10"/>
      <c r="K16" s="106"/>
      <c r="L16" s="703" t="s">
        <v>382</v>
      </c>
      <c r="M16" s="703"/>
      <c r="N16" s="703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1394.8717948718</v>
      </c>
      <c r="Z16" s="151"/>
      <c r="AA16" s="60"/>
      <c r="AB16" s="60"/>
    </row>
    <row r="17" ht="20.1" customHeight="1">
      <c r="A17" s="708" t="s">
        <v>383</v>
      </c>
      <c r="B17" s="708"/>
      <c r="C17" s="708"/>
      <c r="D17" s="708"/>
      <c r="E17" s="708"/>
      <c r="F17" s="708"/>
      <c r="G17" s="709">
        <f>IF(L11=2,"0",1)</f>
        <v>1</v>
      </c>
      <c r="H17" s="709"/>
      <c r="I17" s="710">
        <f>IF(G17="-------","-------",IF(Format!A7=1,(L17+3),IF(Format!A7=2,(L17+3.5),IF(Format!A7=3,(L17+3),IF(Format!A7=4,(L17+4.25),IF(Format!A7=5,(L17+5),"--------"))))))</f>
        <v>400.5</v>
      </c>
      <c r="J17" s="710"/>
      <c r="K17" s="106"/>
      <c r="L17" s="718">
        <f>IF(Format!A7=1,(K6-2-6)/(L11-1),IF(Format!A7=2,(K6-2-7)/(L11-1),IF(Format!A7=3,(K6-2-6)/(L11-1),IF(Format!A7=4,(K6-2-8.5)/(L11-1),IF(Format!A7=5,(K6-2-10)/(L11-1),"--------")))))</f>
        <v>397</v>
      </c>
      <c r="M17" s="718"/>
      <c r="N17" s="718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1394.8717948718</v>
      </c>
      <c r="Z17" s="151"/>
      <c r="AA17" s="60"/>
      <c r="AB17" s="60"/>
    </row>
    <row r="18" ht="20.1" customHeight="1">
      <c r="A18" s="708" t="s">
        <v>384</v>
      </c>
      <c r="B18" s="708"/>
      <c r="C18" s="708"/>
      <c r="D18" s="708"/>
      <c r="E18" s="708"/>
      <c r="F18" s="708"/>
      <c r="G18" s="709">
        <f>IF(L11&lt;=3,"0",(L11-3))</f>
        <v>1</v>
      </c>
      <c r="H18" s="709"/>
      <c r="I18" s="710">
        <f>IF(G18="-------","-------",L17)</f>
        <v>397</v>
      </c>
      <c r="J18" s="710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1394.8717948718</v>
      </c>
      <c r="Z18" s="151"/>
      <c r="AA18" s="60"/>
      <c r="AB18" s="60"/>
    </row>
    <row r="19" ht="20.1" customHeight="1">
      <c r="A19" s="708" t="str">
        <f>IF(Format!H4=1,"Balloon","-------")</f>
        <v>-------</v>
      </c>
      <c r="B19" s="708"/>
      <c r="C19" s="708"/>
      <c r="D19" s="708"/>
      <c r="E19" s="708"/>
      <c r="F19" s="708"/>
      <c r="G19" s="709" t="str">
        <f>IF([1]Format!H4=1,'[1]تقطيع البرجولة'!L14,"0")</f>
        <v>0</v>
      </c>
      <c r="H19" s="709"/>
      <c r="I19" s="710">
        <f>IF(G19="-------","-------",K6-2.5)</f>
        <v>1197.5</v>
      </c>
      <c r="J19" s="710"/>
      <c r="K19" s="106"/>
      <c r="L19" s="711" t="s">
        <v>308</v>
      </c>
      <c r="M19" s="712"/>
      <c r="N19" s="713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4" t="s">
        <v>385</v>
      </c>
      <c r="B20" s="715"/>
      <c r="C20" s="715"/>
      <c r="D20" s="715"/>
      <c r="E20" s="715"/>
      <c r="F20" s="716"/>
      <c r="G20" s="714">
        <f>(G12+G13)/2</f>
        <v>3</v>
      </c>
      <c r="H20" s="715"/>
      <c r="I20" s="710">
        <f>L17-7</f>
        <v>390</v>
      </c>
      <c r="J20" s="710"/>
      <c r="K20" s="106"/>
      <c r="L20" s="114" t="s">
        <v>369</v>
      </c>
      <c r="M20" s="717" t="s">
        <v>386</v>
      </c>
      <c r="N20" s="717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4950</v>
      </c>
      <c r="Z20" s="151"/>
      <c r="AA20" s="60"/>
      <c r="AB20" s="60"/>
    </row>
    <row r="21" ht="20.1" customHeight="1">
      <c r="A21" s="700" t="s">
        <v>387</v>
      </c>
      <c r="B21" s="700"/>
      <c r="C21" s="700"/>
      <c r="D21" s="700"/>
      <c r="E21" s="700"/>
      <c r="F21" s="700"/>
      <c r="G21" s="701">
        <f>L11</f>
        <v>4</v>
      </c>
      <c r="H21" s="701"/>
      <c r="I21" s="702">
        <f>(I11*2)+45</f>
        <v>1575</v>
      </c>
      <c r="J21" s="702"/>
      <c r="K21" s="106"/>
      <c r="L21" s="112">
        <f>IF(Format!E7=1,"-------",IF(Format!E7=5,"-------",تسجيل2!H30))</f>
        <v>4</v>
      </c>
      <c r="M21" s="703" t="str">
        <f>IF(L21="-------","-------",تسجيل2!D11)</f>
        <v>4Χ220- 1Χ250</v>
      </c>
      <c r="N21" s="703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200</v>
      </c>
      <c r="X21" s="144">
        <f>W21*V21</f>
        <v>12600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101479.62505284064</v>
      </c>
      <c r="Z22" s="151"/>
      <c r="AA22" s="60"/>
      <c r="AB22" s="60"/>
    </row>
    <row r="23" ht="20.1" customHeight="1">
      <c r="A23" s="704" t="s">
        <v>388</v>
      </c>
      <c r="B23" s="705"/>
      <c r="C23" s="705"/>
      <c r="D23" s="705"/>
      <c r="E23" s="706"/>
      <c r="F23" s="67" t="s">
        <v>389</v>
      </c>
      <c r="G23" s="68"/>
      <c r="H23" s="704" t="s">
        <v>390</v>
      </c>
      <c r="I23" s="705"/>
      <c r="J23" s="705"/>
      <c r="K23" s="705"/>
      <c r="L23" s="706"/>
      <c r="M23" s="67" t="s">
        <v>369</v>
      </c>
      <c r="N23" s="119"/>
      <c r="O23" s="119"/>
      <c r="P23" s="120"/>
      <c r="Q23" s="120"/>
      <c r="R23" s="120"/>
      <c r="S23" s="146"/>
      <c r="T23" s="147" t="s">
        <v>391</v>
      </c>
      <c r="U23" s="146" t="s">
        <v>392</v>
      </c>
      <c r="V23" s="146" t="s">
        <v>393</v>
      </c>
      <c r="W23" s="146" t="s">
        <v>394</v>
      </c>
      <c r="X23" s="146" t="s">
        <v>392</v>
      </c>
      <c r="Y23" s="146" t="s">
        <v>393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7" t="s">
        <v>395</v>
      </c>
      <c r="C24" s="707"/>
      <c r="D24" s="707"/>
      <c r="E24" s="707"/>
      <c r="F24" s="70">
        <f>L11</f>
        <v>4</v>
      </c>
      <c r="G24" s="71"/>
      <c r="H24" s="69">
        <v>16</v>
      </c>
      <c r="I24" s="707" t="s">
        <v>296</v>
      </c>
      <c r="J24" s="707"/>
      <c r="K24" s="707"/>
      <c r="L24" s="707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21000</v>
      </c>
      <c r="Z24" s="151"/>
      <c r="AA24" s="60">
        <f>V24*F24</f>
        <v>520</v>
      </c>
      <c r="AB24" s="60">
        <f ref="AB24:AB38" t="shared" si="10">Y24*M24</f>
        <v>42000</v>
      </c>
    </row>
    <row r="25" ht="20.1" customHeight="1">
      <c r="A25" s="72">
        <v>2</v>
      </c>
      <c r="B25" s="693" t="s">
        <v>396</v>
      </c>
      <c r="C25" s="693"/>
      <c r="D25" s="693"/>
      <c r="E25" s="693"/>
      <c r="F25" s="73">
        <f>L11</f>
        <v>4</v>
      </c>
      <c r="G25" s="71"/>
      <c r="H25" s="72">
        <v>17</v>
      </c>
      <c r="I25" s="693" t="s">
        <v>229</v>
      </c>
      <c r="J25" s="693"/>
      <c r="K25" s="693"/>
      <c r="L25" s="693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693" t="s">
        <v>397</v>
      </c>
      <c r="C26" s="693"/>
      <c r="D26" s="693"/>
      <c r="E26" s="693"/>
      <c r="F26" s="73">
        <f>M24</f>
        <v>2</v>
      </c>
      <c r="G26" s="71"/>
      <c r="H26" s="72">
        <v>18</v>
      </c>
      <c r="I26" s="693" t="s">
        <v>398</v>
      </c>
      <c r="J26" s="693"/>
      <c r="K26" s="693"/>
      <c r="L26" s="693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690" t="s">
        <v>399</v>
      </c>
      <c r="C27" s="691"/>
      <c r="D27" s="691"/>
      <c r="E27" s="692"/>
      <c r="F27" s="73">
        <v>4</v>
      </c>
      <c r="G27" s="71"/>
      <c r="H27" s="72">
        <v>19</v>
      </c>
      <c r="I27" s="693" t="s">
        <v>400</v>
      </c>
      <c r="J27" s="693"/>
      <c r="K27" s="693"/>
      <c r="L27" s="693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90" t="s">
        <v>401</v>
      </c>
      <c r="C28" s="691"/>
      <c r="D28" s="691"/>
      <c r="E28" s="692"/>
      <c r="F28" s="73">
        <f>L14</f>
        <v>12</v>
      </c>
      <c r="G28" s="71"/>
      <c r="H28" s="72">
        <v>20</v>
      </c>
      <c r="I28" s="693" t="s">
        <v>402</v>
      </c>
      <c r="J28" s="693"/>
      <c r="K28" s="693"/>
      <c r="L28" s="693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690" t="s">
        <v>403</v>
      </c>
      <c r="C29" s="691"/>
      <c r="D29" s="691"/>
      <c r="E29" s="692"/>
      <c r="F29" s="73">
        <f>L11*2</f>
        <v>8</v>
      </c>
      <c r="G29" s="71"/>
      <c r="H29" s="72">
        <v>21</v>
      </c>
      <c r="I29" s="693" t="s">
        <v>230</v>
      </c>
      <c r="J29" s="693"/>
      <c r="K29" s="693"/>
      <c r="L29" s="693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690" t="s">
        <v>404</v>
      </c>
      <c r="C30" s="691"/>
      <c r="D30" s="691"/>
      <c r="E30" s="692"/>
      <c r="F30" s="73">
        <f>L14*L11</f>
        <v>48</v>
      </c>
      <c r="G30" s="71"/>
      <c r="H30" s="72">
        <v>22</v>
      </c>
      <c r="I30" s="693" t="s">
        <v>231</v>
      </c>
      <c r="J30" s="693"/>
      <c r="K30" s="693"/>
      <c r="L30" s="693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690" t="s">
        <v>405</v>
      </c>
      <c r="C31" s="691"/>
      <c r="D31" s="691"/>
      <c r="E31" s="692"/>
      <c r="F31" s="73">
        <f>(L14+N14)*2</f>
        <v>28</v>
      </c>
      <c r="G31" s="71"/>
      <c r="H31" s="72">
        <v>23</v>
      </c>
      <c r="I31" s="693" t="s">
        <v>406</v>
      </c>
      <c r="J31" s="693"/>
      <c r="K31" s="693"/>
      <c r="L31" s="693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690" t="s">
        <v>407</v>
      </c>
      <c r="C32" s="691"/>
      <c r="D32" s="691"/>
      <c r="E32" s="692"/>
      <c r="F32" s="73">
        <f>(L14+N14)*2</f>
        <v>28</v>
      </c>
      <c r="G32" s="71"/>
      <c r="H32" s="72">
        <v>24</v>
      </c>
      <c r="I32" s="693" t="s">
        <v>408</v>
      </c>
      <c r="J32" s="693"/>
      <c r="K32" s="693"/>
      <c r="L32" s="693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690" t="s">
        <v>409</v>
      </c>
      <c r="C33" s="691"/>
      <c r="D33" s="691"/>
      <c r="E33" s="692"/>
      <c r="F33" s="73">
        <f>L11*3</f>
        <v>12</v>
      </c>
      <c r="G33" s="71"/>
      <c r="H33" s="72">
        <v>25</v>
      </c>
      <c r="I33" s="693" t="s">
        <v>410</v>
      </c>
      <c r="J33" s="693"/>
      <c r="K33" s="693"/>
      <c r="L33" s="693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690" t="s">
        <v>411</v>
      </c>
      <c r="C34" s="691"/>
      <c r="D34" s="691"/>
      <c r="E34" s="692"/>
      <c r="F34" s="73">
        <f>L11*3</f>
        <v>12</v>
      </c>
      <c r="G34" s="71"/>
      <c r="H34" s="72">
        <v>26</v>
      </c>
      <c r="I34" s="693" t="s">
        <v>232</v>
      </c>
      <c r="J34" s="693"/>
      <c r="K34" s="693"/>
      <c r="L34" s="693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690" t="s">
        <v>412</v>
      </c>
      <c r="C35" s="691"/>
      <c r="D35" s="691"/>
      <c r="E35" s="692"/>
      <c r="F35" s="73">
        <f>IF(L11&gt;2,(L11-2)*2,"0")</f>
        <v>4</v>
      </c>
      <c r="G35" s="74"/>
      <c r="H35" s="72">
        <v>27</v>
      </c>
      <c r="I35" s="693" t="s">
        <v>233</v>
      </c>
      <c r="J35" s="693"/>
      <c r="K35" s="693"/>
      <c r="L35" s="693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690" t="s">
        <v>413</v>
      </c>
      <c r="C36" s="691"/>
      <c r="D36" s="691"/>
      <c r="E36" s="692"/>
      <c r="F36" s="73">
        <f>IF(L11&gt;2,(L11-2)*L14,"0")</f>
        <v>24</v>
      </c>
      <c r="G36" s="74"/>
      <c r="H36" s="72">
        <v>28</v>
      </c>
      <c r="I36" s="693" t="s">
        <v>414</v>
      </c>
      <c r="J36" s="693"/>
      <c r="K36" s="693"/>
      <c r="L36" s="693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690" t="s">
        <v>415</v>
      </c>
      <c r="C37" s="691"/>
      <c r="D37" s="691"/>
      <c r="E37" s="692"/>
      <c r="F37" s="73">
        <f>M24</f>
        <v>2</v>
      </c>
      <c r="G37" s="74"/>
      <c r="H37" s="72">
        <v>29</v>
      </c>
      <c r="I37" s="693" t="s">
        <v>416</v>
      </c>
      <c r="J37" s="693"/>
      <c r="K37" s="693"/>
      <c r="L37" s="693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693" t="s">
        <v>234</v>
      </c>
      <c r="C38" s="693"/>
      <c r="D38" s="693"/>
      <c r="E38" s="693"/>
      <c r="F38" s="73">
        <f>تسجيل1!C21</f>
        <v>20</v>
      </c>
      <c r="G38" s="74"/>
      <c r="H38" s="72">
        <v>30</v>
      </c>
      <c r="I38" s="693" t="s">
        <v>417</v>
      </c>
      <c r="J38" s="693"/>
      <c r="K38" s="693"/>
      <c r="L38" s="693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120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2400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80">
        <f>SUM(AA24:AB38)</f>
        <v>71907.1</v>
      </c>
      <c r="AB39" s="680"/>
    </row>
    <row r="40" ht="20.45" customHeight="1" s="58" customFormat="1">
      <c r="A40" s="694" t="s">
        <v>418</v>
      </c>
      <c r="B40" s="695"/>
      <c r="C40" s="695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80"/>
      <c r="AB40" s="680"/>
    </row>
    <row r="41" ht="18.75" customHeight="1" s="58" customFormat="1">
      <c r="A41" s="681" t="str">
        <f>IF(Format!I5=1,"-------",IF(Format!I5=2,Format!I3,Format!I4))</f>
        <v>صونفي </v>
      </c>
      <c r="B41" s="682"/>
      <c r="C41" s="683"/>
      <c r="D41" s="81"/>
      <c r="E41" s="81"/>
      <c r="F41" s="76"/>
      <c r="G41" s="68"/>
      <c r="H41" s="75"/>
      <c r="I41" s="81"/>
      <c r="J41" s="81"/>
      <c r="K41" s="81"/>
      <c r="L41" s="696" t="s">
        <v>289</v>
      </c>
      <c r="M41" s="697"/>
      <c r="N41" s="698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699">
        <f>AA39+X22+U8</f>
        <v>203932.44905284065</v>
      </c>
      <c r="AB41" s="699"/>
    </row>
    <row r="42" ht="13.9" customHeight="1" s="58" customFormat="1">
      <c r="A42" s="681"/>
      <c r="B42" s="682"/>
      <c r="C42" s="683"/>
      <c r="D42" s="10"/>
      <c r="E42" s="10"/>
      <c r="F42" s="10"/>
      <c r="G42" s="10"/>
      <c r="H42" s="10"/>
      <c r="I42" s="10"/>
      <c r="J42" s="10"/>
      <c r="K42" s="10"/>
      <c r="L42" s="659" t="str">
        <f>IF(Format!B5=1,Format!B2,IF(Format!B5=2,Format!B3,تسجيل1!F4))</f>
        <v>بيج  Ral 1013</v>
      </c>
      <c r="M42" s="660"/>
      <c r="N42" s="661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2" t="str">
        <f>IF(Format!P5=1,"Τηλεχειρισμος",IF(Format!P5=2,"-------","Διακοπτης"))</f>
        <v>Τηλεχειρισμος</v>
      </c>
      <c r="B43" s="663"/>
      <c r="C43" s="664"/>
      <c r="D43" s="10"/>
      <c r="E43" s="10"/>
      <c r="F43" s="10"/>
      <c r="G43" s="10"/>
      <c r="H43" s="10"/>
      <c r="I43" s="10"/>
      <c r="J43" s="10"/>
      <c r="K43" s="10"/>
      <c r="L43" s="665" t="s">
        <v>290</v>
      </c>
      <c r="M43" s="666"/>
      <c r="N43" s="667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8" t="str">
        <f>IF(Format!C8=1,Format!C2,IF(Format!C8=2,Format!C3,IF(Format!C8=3,Format!C4,IF(Format!C8=4,Format!C5,IF(Format!C8=5,Format!C6,تسجيل1!F5)))))</f>
        <v>بيج  Ral 1013</v>
      </c>
      <c r="M44" s="669"/>
      <c r="N44" s="670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71" t="str">
        <f>A3</f>
        <v>اسم العميل </v>
      </c>
      <c r="B96" s="672"/>
      <c r="C96" s="672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673">
        <f>N8</f>
        <v>772</v>
      </c>
      <c r="N97" s="674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5" t="str">
        <f>L44</f>
        <v>بيج  Ral 1013</v>
      </c>
      <c r="K98" s="676"/>
      <c r="L98" s="676"/>
      <c r="M98" s="676"/>
      <c r="N98" s="677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252</v>
      </c>
      <c r="B1" s="20" t="s">
        <v>289</v>
      </c>
      <c r="C1" s="20" t="s">
        <v>290</v>
      </c>
      <c r="D1" s="20" t="s">
        <v>291</v>
      </c>
      <c r="E1" s="20" t="s">
        <v>292</v>
      </c>
      <c r="F1" s="20" t="s">
        <v>293</v>
      </c>
      <c r="G1" s="20" t="s">
        <v>294</v>
      </c>
      <c r="H1" s="20" t="s">
        <v>295</v>
      </c>
      <c r="I1" s="20" t="s">
        <v>296</v>
      </c>
      <c r="J1" s="761" t="s">
        <v>297</v>
      </c>
      <c r="K1" s="762"/>
      <c r="L1" s="762"/>
      <c r="M1" s="763"/>
      <c r="N1" s="20" t="s">
        <v>298</v>
      </c>
      <c r="O1" s="20" t="s">
        <v>296</v>
      </c>
      <c r="P1" s="20" t="s">
        <v>299</v>
      </c>
    </row>
    <row r="2">
      <c r="A2" s="21" t="s">
        <v>300</v>
      </c>
      <c r="B2" s="21" t="s">
        <v>301</v>
      </c>
      <c r="C2" s="21" t="s">
        <v>301</v>
      </c>
      <c r="D2" s="21" t="s">
        <v>302</v>
      </c>
      <c r="E2" s="21" t="s">
        <v>303</v>
      </c>
      <c r="F2" s="21" t="s">
        <v>304</v>
      </c>
      <c r="G2" s="21" t="s">
        <v>304</v>
      </c>
      <c r="H2" s="21" t="s">
        <v>304</v>
      </c>
      <c r="I2" s="21" t="s">
        <v>303</v>
      </c>
      <c r="J2" s="4" t="s">
        <v>305</v>
      </c>
      <c r="K2" s="1" t="s">
        <v>306</v>
      </c>
      <c r="L2" s="1" t="s">
        <v>307</v>
      </c>
      <c r="M2" s="18" t="s">
        <v>308</v>
      </c>
      <c r="N2" s="21" t="s">
        <v>309</v>
      </c>
      <c r="O2" s="21" t="s">
        <v>310</v>
      </c>
      <c r="P2" s="21" t="s">
        <v>304</v>
      </c>
    </row>
    <row r="3">
      <c r="A3" s="21" t="s">
        <v>311</v>
      </c>
      <c r="B3" s="21" t="s">
        <v>312</v>
      </c>
      <c r="C3" s="21" t="s">
        <v>312</v>
      </c>
      <c r="D3" s="21" t="s">
        <v>313</v>
      </c>
      <c r="E3" s="21" t="s">
        <v>314</v>
      </c>
      <c r="F3" s="21" t="s">
        <v>303</v>
      </c>
      <c r="G3" s="21" t="s">
        <v>303</v>
      </c>
      <c r="H3" s="21" t="s">
        <v>303</v>
      </c>
      <c r="I3" s="21" t="s">
        <v>315</v>
      </c>
      <c r="J3" s="49">
        <v>-2</v>
      </c>
      <c r="K3" s="10">
        <v>-5</v>
      </c>
      <c r="L3" s="10">
        <v>-5</v>
      </c>
      <c r="M3" s="18">
        <v>-2</v>
      </c>
      <c r="N3" s="21" t="s">
        <v>316</v>
      </c>
      <c r="O3" s="21" t="s">
        <v>317</v>
      </c>
      <c r="P3" s="21" t="s">
        <v>303</v>
      </c>
    </row>
    <row r="4">
      <c r="A4" s="21" t="s">
        <v>318</v>
      </c>
      <c r="B4" s="21" t="s">
        <v>319</v>
      </c>
      <c r="C4" s="21" t="s">
        <v>320</v>
      </c>
      <c r="D4" s="21">
        <v>1</v>
      </c>
      <c r="E4" s="21" t="s">
        <v>321</v>
      </c>
      <c r="F4" s="21">
        <v>1</v>
      </c>
      <c r="G4" s="21">
        <v>1</v>
      </c>
      <c r="H4" s="21">
        <v>2</v>
      </c>
      <c r="I4" s="21" t="s">
        <v>322</v>
      </c>
      <c r="J4" s="49">
        <v>-1</v>
      </c>
      <c r="K4" s="10">
        <v>-4</v>
      </c>
      <c r="L4" s="10">
        <v>-4</v>
      </c>
      <c r="M4" s="18">
        <v>-1</v>
      </c>
      <c r="N4" s="21" t="s">
        <v>323</v>
      </c>
      <c r="O4" s="21">
        <v>1</v>
      </c>
      <c r="P4" s="21" t="s">
        <v>324</v>
      </c>
    </row>
    <row r="5">
      <c r="A5" s="21" t="s">
        <v>325</v>
      </c>
      <c r="B5" s="21">
        <v>1</v>
      </c>
      <c r="C5" s="21" t="s">
        <v>326</v>
      </c>
      <c r="D5" s="21"/>
      <c r="E5" s="21" t="s">
        <v>327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328</v>
      </c>
      <c r="O5" s="21"/>
      <c r="P5" s="21">
        <v>1</v>
      </c>
    </row>
    <row r="6">
      <c r="A6" s="21" t="s">
        <v>329</v>
      </c>
      <c r="B6" s="21"/>
      <c r="C6" s="21" t="s">
        <v>330</v>
      </c>
      <c r="D6" s="21"/>
      <c r="E6" s="21" t="s">
        <v>331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332</v>
      </c>
      <c r="O6" s="21"/>
      <c r="P6" s="21"/>
    </row>
    <row r="7">
      <c r="A7" s="21">
        <v>2</v>
      </c>
      <c r="B7" s="21"/>
      <c r="C7" s="21" t="s">
        <v>319</v>
      </c>
      <c r="D7" s="21"/>
      <c r="E7" s="21" t="s">
        <v>333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334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335</v>
      </c>
      <c r="B17" s="24" t="str">
        <f>IF(A7=1,A2,IF(A7=2,A3,IF(A7=3,A4,IF(A7=4,A5,IF(A7=5,A6,IF(A7=6,A7,IF(A7=7,A8,IF(A7=8,A9,IF(A7=9,A10,IF(A7=10,A11,IF(A7=11,A12,IF(A7=12,A13,A14))))))))))))</f>
        <v>EVO 150X70</v>
      </c>
      <c r="C17" s="764" t="s">
        <v>336</v>
      </c>
      <c r="D17" s="765"/>
      <c r="E17" s="765"/>
      <c r="F17" s="766"/>
      <c r="G17" s="1"/>
      <c r="H17" s="1"/>
      <c r="I17" s="1"/>
    </row>
    <row r="18">
      <c r="A18" s="26" t="s">
        <v>337</v>
      </c>
      <c r="B18" s="27">
        <f>تسجيل2!C7</f>
        <v>1200</v>
      </c>
      <c r="C18" s="28" t="s">
        <v>338</v>
      </c>
      <c r="D18" s="28"/>
      <c r="E18" s="28"/>
      <c r="F18" s="25"/>
      <c r="G18" s="1"/>
      <c r="H18" s="1"/>
      <c r="I18" s="1"/>
    </row>
    <row r="19">
      <c r="A19" s="29" t="s">
        <v>276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7" t="s">
        <v>339</v>
      </c>
      <c r="B29" s="768"/>
      <c r="C29" s="768"/>
      <c r="D29" s="768"/>
      <c r="E29" s="768"/>
      <c r="F29" s="768"/>
      <c r="G29" s="768"/>
      <c r="H29" s="769"/>
      <c r="I29" s="767" t="s">
        <v>340</v>
      </c>
      <c r="J29" s="768"/>
      <c r="K29" s="768"/>
      <c r="L29" s="768"/>
      <c r="M29" s="768"/>
      <c r="N29" s="768"/>
      <c r="O29" s="768"/>
      <c r="P29" s="769"/>
      <c r="Q29" s="767" t="s">
        <v>341</v>
      </c>
      <c r="R29" s="768"/>
      <c r="S29" s="768"/>
      <c r="T29" s="768"/>
      <c r="U29" s="768"/>
      <c r="V29" s="768"/>
      <c r="W29" s="768"/>
      <c r="X29" s="769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5" t="s">
        <v>342</v>
      </c>
      <c r="B31" s="756"/>
      <c r="C31" s="36">
        <f>B19</f>
        <v>800</v>
      </c>
      <c r="D31" s="34" t="s">
        <v>343</v>
      </c>
      <c r="E31" s="36">
        <f>H34</f>
        <v>12</v>
      </c>
      <c r="F31" s="34"/>
      <c r="G31" s="34"/>
      <c r="H31" s="35"/>
      <c r="I31" s="755" t="s">
        <v>342</v>
      </c>
      <c r="J31" s="756"/>
      <c r="K31" s="36">
        <f>B19</f>
        <v>800</v>
      </c>
      <c r="L31" s="34" t="s">
        <v>343</v>
      </c>
      <c r="M31" s="36">
        <f>P34</f>
        <v>10</v>
      </c>
      <c r="N31" s="15"/>
      <c r="O31" s="34"/>
      <c r="P31" s="35"/>
      <c r="Q31" s="757" t="s">
        <v>342</v>
      </c>
      <c r="R31" s="758"/>
      <c r="S31" s="57">
        <f>B19</f>
        <v>800</v>
      </c>
      <c r="T31" s="47" t="s">
        <v>344</v>
      </c>
      <c r="U31" s="57">
        <f>INT((S31-4)/25)+1</f>
        <v>32</v>
      </c>
      <c r="V31" s="47"/>
      <c r="W31" s="47"/>
      <c r="X31" s="48"/>
    </row>
    <row r="32">
      <c r="A32" s="759" t="s">
        <v>343</v>
      </c>
      <c r="B32" s="760"/>
      <c r="C32" s="760"/>
      <c r="D32" s="34"/>
      <c r="E32" s="34"/>
      <c r="F32" s="38"/>
      <c r="G32" s="34"/>
      <c r="H32" s="35"/>
      <c r="I32" s="759" t="s">
        <v>345</v>
      </c>
      <c r="J32" s="760"/>
      <c r="K32" s="760"/>
      <c r="L32" s="34"/>
      <c r="M32" s="34"/>
      <c r="N32" s="54"/>
      <c r="O32" s="34"/>
      <c r="P32" s="35"/>
    </row>
    <row r="33">
      <c r="A33" s="39" t="s">
        <v>346</v>
      </c>
      <c r="B33" s="40" t="s">
        <v>347</v>
      </c>
      <c r="C33" s="40" t="s">
        <v>348</v>
      </c>
      <c r="D33" s="34"/>
      <c r="E33" s="40" t="s">
        <v>346</v>
      </c>
      <c r="F33" s="40" t="s">
        <v>347</v>
      </c>
      <c r="G33" s="40" t="s">
        <v>348</v>
      </c>
      <c r="H33" s="35"/>
      <c r="I33" s="39" t="s">
        <v>346</v>
      </c>
      <c r="J33" s="40" t="s">
        <v>347</v>
      </c>
      <c r="K33" s="40" t="s">
        <v>348</v>
      </c>
      <c r="L33" s="34"/>
      <c r="M33" s="40" t="s">
        <v>346</v>
      </c>
      <c r="N33" s="37" t="s">
        <v>347</v>
      </c>
      <c r="O33" s="40" t="s">
        <v>348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349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349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0" t="s">
        <v>262</v>
      </c>
      <c r="B1" s="771"/>
      <c r="C1" s="17"/>
      <c r="D1" s="3" t="s">
        <v>263</v>
      </c>
      <c r="E1" s="3" t="s">
        <v>264</v>
      </c>
      <c r="F1" s="3" t="s">
        <v>265</v>
      </c>
      <c r="G1" s="3" t="s">
        <v>266</v>
      </c>
      <c r="H1" s="7" t="s">
        <v>267</v>
      </c>
    </row>
    <row r="2">
      <c r="A2" s="772"/>
      <c r="B2" s="773"/>
      <c r="C2" s="10" t="s">
        <v>268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72"/>
      <c r="B3" s="773"/>
      <c r="C3" s="10" t="s">
        <v>269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72"/>
      <c r="B4" s="773"/>
      <c r="C4" s="10" t="s">
        <v>270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72"/>
      <c r="B5" s="773"/>
      <c r="H5" s="18"/>
      <c r="K5" s="1" t="s">
        <v>253</v>
      </c>
      <c r="L5" s="10" t="s">
        <v>271</v>
      </c>
    </row>
    <row r="6">
      <c r="A6" s="772"/>
      <c r="B6" s="773"/>
      <c r="C6" s="10" t="s">
        <v>272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273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74"/>
      <c r="B7" s="775"/>
      <c r="C7" s="19" t="s">
        <v>274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6" t="s">
        <v>275</v>
      </c>
      <c r="B10" s="777"/>
      <c r="C10" s="17"/>
      <c r="D10" s="3" t="s">
        <v>263</v>
      </c>
      <c r="E10" s="3" t="s">
        <v>264</v>
      </c>
      <c r="F10" s="3" t="s">
        <v>265</v>
      </c>
      <c r="G10" s="3" t="s">
        <v>266</v>
      </c>
      <c r="H10" s="7" t="s">
        <v>267</v>
      </c>
    </row>
    <row r="11">
      <c r="A11" s="778"/>
      <c r="B11" s="779"/>
      <c r="C11" s="10" t="s">
        <v>268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78"/>
      <c r="B12" s="779"/>
      <c r="C12" s="10" t="s">
        <v>269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78"/>
      <c r="B13" s="779"/>
      <c r="C13" s="10" t="s">
        <v>270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253</v>
      </c>
      <c r="L13" s="10" t="s">
        <v>271</v>
      </c>
    </row>
    <row r="14">
      <c r="A14" s="778"/>
      <c r="B14" s="779"/>
      <c r="H14" s="18"/>
      <c r="J14" s="10" t="s">
        <v>273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78"/>
      <c r="B15" s="779"/>
      <c r="C15" s="10" t="s">
        <v>272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276</v>
      </c>
      <c r="R15" s="10" t="s">
        <v>277</v>
      </c>
    </row>
    <row r="16">
      <c r="A16" s="780"/>
      <c r="B16" s="781"/>
      <c r="C16" s="19" t="s">
        <v>274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82" t="s">
        <v>278</v>
      </c>
      <c r="B19" s="783"/>
      <c r="C19" s="17"/>
      <c r="D19" s="3" t="s">
        <v>263</v>
      </c>
      <c r="E19" s="3" t="s">
        <v>264</v>
      </c>
      <c r="F19" s="3" t="s">
        <v>265</v>
      </c>
      <c r="G19" s="3" t="s">
        <v>266</v>
      </c>
      <c r="H19" s="7" t="s">
        <v>267</v>
      </c>
    </row>
    <row r="20">
      <c r="A20" s="784"/>
      <c r="B20" s="785"/>
      <c r="C20" s="10" t="s">
        <v>268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84"/>
      <c r="B21" s="785"/>
      <c r="C21" s="10" t="s">
        <v>269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84"/>
      <c r="B22" s="785"/>
      <c r="C22" s="10" t="s">
        <v>270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253</v>
      </c>
      <c r="L22" s="10" t="s">
        <v>271</v>
      </c>
    </row>
    <row r="23">
      <c r="A23" s="784"/>
      <c r="B23" s="785"/>
      <c r="H23" s="18"/>
      <c r="J23" s="10" t="s">
        <v>273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84"/>
      <c r="B24" s="785"/>
      <c r="C24" s="10" t="s">
        <v>272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6"/>
      <c r="B25" s="787"/>
      <c r="C25" s="19" t="s">
        <v>274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279</v>
      </c>
      <c r="K2" s="1" t="s">
        <v>280</v>
      </c>
      <c r="O2" s="1" t="s">
        <v>281</v>
      </c>
    </row>
    <row r="3">
      <c r="A3" s="1" t="s">
        <v>252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282</v>
      </c>
      <c r="B4" s="1">
        <f>تسجيل2!C7</f>
        <v>1200</v>
      </c>
      <c r="J4" s="15">
        <v>4</v>
      </c>
      <c r="K4" s="15">
        <v>2</v>
      </c>
    </row>
    <row r="5">
      <c r="A5" s="1" t="s">
        <v>253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279</v>
      </c>
      <c r="B6" s="1">
        <f>'Cutting Ro-2'!L14</f>
        <v>12</v>
      </c>
      <c r="C6" s="1" t="s">
        <v>283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284</v>
      </c>
      <c r="B9" s="1">
        <f>O8</f>
        <v>5</v>
      </c>
      <c r="J9" s="15">
        <v>9</v>
      </c>
      <c r="K9" s="15">
        <v>4</v>
      </c>
    </row>
    <row r="10">
      <c r="A10" s="12" t="s">
        <v>285</v>
      </c>
      <c r="B10" s="13">
        <f>(((B4-(تسجيل2!C22*2))/200)+1)*B9</f>
        <v>32.5</v>
      </c>
      <c r="C10" s="638" t="s">
        <v>286</v>
      </c>
      <c r="D10" s="638"/>
      <c r="E10" s="14">
        <f>ROUND(B10,0)</f>
        <v>33</v>
      </c>
      <c r="J10" s="15">
        <v>10</v>
      </c>
      <c r="K10" s="15">
        <v>4</v>
      </c>
    </row>
    <row r="11">
      <c r="A11" s="12" t="s">
        <v>287</v>
      </c>
      <c r="B11" s="13">
        <f>E10/B9</f>
        <v>6.6</v>
      </c>
      <c r="C11" s="638" t="s">
        <v>286</v>
      </c>
      <c r="D11" s="638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288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252</v>
      </c>
      <c r="B1" s="1" t="s">
        <v>253</v>
      </c>
      <c r="C1" s="1" t="s">
        <v>254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255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256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88" t="s">
        <v>257</v>
      </c>
      <c r="I7" s="788"/>
      <c r="J7" s="788"/>
      <c r="K7" s="789"/>
    </row>
    <row r="8">
      <c r="A8" s="4" t="s">
        <v>258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88"/>
      <c r="I8" s="788"/>
      <c r="J8" s="788"/>
      <c r="K8" s="789"/>
    </row>
    <row r="9">
      <c r="A9" s="4" t="s">
        <v>259</v>
      </c>
      <c r="C9" s="1" t="str">
        <f>IF('Format (2)'!N8=5,'Format διαστασης οδηγου (2)'!B2-35,IF('Format (2)'!N8=6,'Format διαστασης οδηγου (2)'!B2-31,"-------"))</f>
        <v>-------</v>
      </c>
      <c r="H9" s="788"/>
      <c r="I9" s="788"/>
      <c r="J9" s="788"/>
      <c r="K9" s="789"/>
    </row>
    <row r="10">
      <c r="A10" s="4" t="s">
        <v>260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255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256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88" t="s">
        <v>261</v>
      </c>
      <c r="I15" s="788"/>
      <c r="J15" s="788"/>
      <c r="K15" s="789"/>
    </row>
    <row r="16">
      <c r="A16" s="4" t="s">
        <v>258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88"/>
      <c r="I16" s="788"/>
      <c r="J16" s="788"/>
      <c r="K16" s="789"/>
    </row>
    <row r="17">
      <c r="A17" s="4" t="s">
        <v>259</v>
      </c>
      <c r="C17" s="1" t="str">
        <f>IF('Format (2)'!N8=5,'Format διαστασης οδηγου (2)'!B2-6,IF('Format (2)'!N8=6,'Format διαστασης οδηγου (2)'!B2-2,"-------"))</f>
        <v>-------</v>
      </c>
      <c r="H17" s="788"/>
      <c r="I17" s="788"/>
      <c r="J17" s="788"/>
      <c r="K17" s="789"/>
    </row>
    <row r="18">
      <c r="A18" s="4" t="s">
        <v>260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252</v>
      </c>
      <c r="B1" s="20" t="s">
        <v>289</v>
      </c>
      <c r="C1" s="20" t="s">
        <v>290</v>
      </c>
      <c r="D1" s="20" t="s">
        <v>291</v>
      </c>
      <c r="E1" s="20" t="s">
        <v>292</v>
      </c>
      <c r="F1" s="20" t="s">
        <v>293</v>
      </c>
      <c r="G1" s="20" t="s">
        <v>294</v>
      </c>
      <c r="H1" s="20" t="s">
        <v>295</v>
      </c>
      <c r="I1" s="20" t="s">
        <v>296</v>
      </c>
      <c r="J1" s="761" t="s">
        <v>297</v>
      </c>
      <c r="K1" s="762"/>
      <c r="L1" s="762"/>
      <c r="M1" s="763"/>
      <c r="N1" s="20" t="s">
        <v>298</v>
      </c>
      <c r="O1" s="20" t="s">
        <v>296</v>
      </c>
      <c r="P1" s="20" t="s">
        <v>299</v>
      </c>
    </row>
    <row r="2">
      <c r="A2" s="21" t="s">
        <v>300</v>
      </c>
      <c r="B2" s="21" t="s">
        <v>301</v>
      </c>
      <c r="C2" s="21" t="s">
        <v>301</v>
      </c>
      <c r="D2" s="21" t="s">
        <v>302</v>
      </c>
      <c r="E2" s="21" t="s">
        <v>303</v>
      </c>
      <c r="F2" s="21" t="s">
        <v>304</v>
      </c>
      <c r="G2" s="21" t="s">
        <v>304</v>
      </c>
      <c r="H2" s="21" t="s">
        <v>304</v>
      </c>
      <c r="I2" s="21" t="s">
        <v>303</v>
      </c>
      <c r="J2" s="4" t="s">
        <v>305</v>
      </c>
      <c r="K2" s="1" t="s">
        <v>306</v>
      </c>
      <c r="L2" s="1" t="s">
        <v>307</v>
      </c>
      <c r="M2" s="18" t="s">
        <v>308</v>
      </c>
      <c r="N2" s="21" t="s">
        <v>309</v>
      </c>
      <c r="O2" s="21" t="s">
        <v>310</v>
      </c>
      <c r="P2" s="21" t="s">
        <v>304</v>
      </c>
    </row>
    <row r="3">
      <c r="A3" s="21" t="s">
        <v>311</v>
      </c>
      <c r="B3" s="21" t="s">
        <v>312</v>
      </c>
      <c r="C3" s="21" t="s">
        <v>312</v>
      </c>
      <c r="D3" s="21" t="s">
        <v>313</v>
      </c>
      <c r="E3" s="21" t="s">
        <v>314</v>
      </c>
      <c r="F3" s="21" t="s">
        <v>303</v>
      </c>
      <c r="G3" s="21" t="s">
        <v>303</v>
      </c>
      <c r="H3" s="21" t="s">
        <v>303</v>
      </c>
      <c r="I3" s="21" t="s">
        <v>315</v>
      </c>
      <c r="J3" s="49">
        <v>-2</v>
      </c>
      <c r="K3" s="10">
        <v>-5</v>
      </c>
      <c r="L3" s="10">
        <v>-5</v>
      </c>
      <c r="M3" s="18">
        <v>-2</v>
      </c>
      <c r="N3" s="21" t="s">
        <v>316</v>
      </c>
      <c r="O3" s="21" t="s">
        <v>317</v>
      </c>
      <c r="P3" s="21" t="s">
        <v>303</v>
      </c>
    </row>
    <row r="4">
      <c r="A4" s="21" t="s">
        <v>318</v>
      </c>
      <c r="B4" s="21" t="s">
        <v>319</v>
      </c>
      <c r="C4" s="21" t="s">
        <v>320</v>
      </c>
      <c r="D4" s="21">
        <v>1</v>
      </c>
      <c r="E4" s="21" t="s">
        <v>321</v>
      </c>
      <c r="F4" s="21">
        <v>1</v>
      </c>
      <c r="G4" s="21">
        <v>1</v>
      </c>
      <c r="H4" s="21">
        <v>2</v>
      </c>
      <c r="I4" s="21" t="s">
        <v>322</v>
      </c>
      <c r="J4" s="49">
        <v>-1</v>
      </c>
      <c r="K4" s="10">
        <v>-4</v>
      </c>
      <c r="L4" s="10">
        <v>-4</v>
      </c>
      <c r="M4" s="18">
        <v>-1</v>
      </c>
      <c r="N4" s="21" t="s">
        <v>323</v>
      </c>
      <c r="O4" s="21">
        <v>1</v>
      </c>
      <c r="P4" s="21" t="s">
        <v>324</v>
      </c>
    </row>
    <row r="5">
      <c r="A5" s="21" t="s">
        <v>325</v>
      </c>
      <c r="B5" s="21">
        <v>1</v>
      </c>
      <c r="C5" s="21" t="s">
        <v>326</v>
      </c>
      <c r="D5" s="21"/>
      <c r="E5" s="21" t="s">
        <v>327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328</v>
      </c>
      <c r="O5" s="21"/>
      <c r="P5" s="21">
        <v>1</v>
      </c>
    </row>
    <row r="6">
      <c r="A6" s="21" t="s">
        <v>329</v>
      </c>
      <c r="B6" s="21"/>
      <c r="C6" s="21" t="s">
        <v>330</v>
      </c>
      <c r="D6" s="21"/>
      <c r="E6" s="21" t="s">
        <v>331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332</v>
      </c>
      <c r="O6" s="21"/>
      <c r="P6" s="21"/>
    </row>
    <row r="7">
      <c r="A7" s="21">
        <v>2</v>
      </c>
      <c r="B7" s="21"/>
      <c r="C7" s="21" t="s">
        <v>319</v>
      </c>
      <c r="D7" s="21"/>
      <c r="E7" s="21" t="s">
        <v>333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334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335</v>
      </c>
      <c r="B17" s="24" t="str">
        <f>IF(A7=1,A2,IF(A7=2,A3,IF(A7=3,A4,IF(A7=4,A5,IF(A7=5,A6,IF(A7=6,A7,IF(A7=7,A8,IF(A7=8,A9,IF(A7=9,A10,IF(A7=10,A11,IF(A7=11,A12,IF(A7=12,A13,A14))))))))))))</f>
        <v>EVO 150X70</v>
      </c>
      <c r="C17" s="764" t="s">
        <v>336</v>
      </c>
      <c r="D17" s="765"/>
      <c r="E17" s="765"/>
      <c r="F17" s="766"/>
      <c r="G17" s="1"/>
      <c r="H17" s="1"/>
      <c r="I17" s="1"/>
    </row>
    <row r="18">
      <c r="A18" s="26" t="s">
        <v>337</v>
      </c>
      <c r="B18" s="27">
        <f>تسجيل1!C7</f>
        <v>500</v>
      </c>
      <c r="C18" s="28" t="s">
        <v>338</v>
      </c>
      <c r="D18" s="28"/>
      <c r="E18" s="28"/>
      <c r="F18" s="25"/>
      <c r="G18" s="1"/>
      <c r="H18" s="1"/>
      <c r="I18" s="1"/>
    </row>
    <row r="19">
      <c r="A19" s="29" t="s">
        <v>276</v>
      </c>
      <c r="B19" s="30">
        <f>'Format διαστασης οδηγου'!F16</f>
        <v>800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7" t="s">
        <v>339</v>
      </c>
      <c r="B29" s="768"/>
      <c r="C29" s="768"/>
      <c r="D29" s="768"/>
      <c r="E29" s="768"/>
      <c r="F29" s="768"/>
      <c r="G29" s="768"/>
      <c r="H29" s="769"/>
      <c r="I29" s="767" t="s">
        <v>340</v>
      </c>
      <c r="J29" s="768"/>
      <c r="K29" s="768"/>
      <c r="L29" s="768"/>
      <c r="M29" s="768"/>
      <c r="N29" s="768"/>
      <c r="O29" s="768"/>
      <c r="P29" s="769"/>
      <c r="Q29" s="767" t="s">
        <v>341</v>
      </c>
      <c r="R29" s="768"/>
      <c r="S29" s="768"/>
      <c r="T29" s="768"/>
      <c r="U29" s="768"/>
      <c r="V29" s="768"/>
      <c r="W29" s="768"/>
      <c r="X29" s="769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5" t="s">
        <v>342</v>
      </c>
      <c r="B31" s="756"/>
      <c r="C31" s="36">
        <f>B19</f>
        <v>800</v>
      </c>
      <c r="D31" s="34" t="s">
        <v>343</v>
      </c>
      <c r="E31" s="36">
        <f>H34</f>
        <v>12</v>
      </c>
      <c r="F31" s="34"/>
      <c r="G31" s="34"/>
      <c r="H31" s="35"/>
      <c r="I31" s="755" t="s">
        <v>342</v>
      </c>
      <c r="J31" s="756"/>
      <c r="K31" s="36">
        <f>B19</f>
        <v>800</v>
      </c>
      <c r="L31" s="34" t="s">
        <v>343</v>
      </c>
      <c r="M31" s="36">
        <f>P34</f>
        <v>10</v>
      </c>
      <c r="N31" s="15"/>
      <c r="O31" s="34"/>
      <c r="P31" s="35"/>
      <c r="Q31" s="757" t="s">
        <v>342</v>
      </c>
      <c r="R31" s="758"/>
      <c r="S31" s="57">
        <f>B19</f>
        <v>800</v>
      </c>
      <c r="T31" s="47" t="s">
        <v>344</v>
      </c>
      <c r="U31" s="57">
        <f>INT((S31-4)/25)+1</f>
        <v>32</v>
      </c>
      <c r="V31" s="47"/>
      <c r="W31" s="47"/>
      <c r="X31" s="48"/>
    </row>
    <row r="32">
      <c r="A32" s="759" t="s">
        <v>343</v>
      </c>
      <c r="B32" s="760"/>
      <c r="C32" s="760"/>
      <c r="D32" s="34"/>
      <c r="E32" s="34"/>
      <c r="F32" s="38"/>
      <c r="G32" s="34"/>
      <c r="H32" s="35"/>
      <c r="I32" s="759" t="s">
        <v>345</v>
      </c>
      <c r="J32" s="760"/>
      <c r="K32" s="760"/>
      <c r="L32" s="34"/>
      <c r="M32" s="34"/>
      <c r="N32" s="54"/>
      <c r="O32" s="34"/>
      <c r="P32" s="35"/>
    </row>
    <row r="33">
      <c r="A33" s="39" t="s">
        <v>346</v>
      </c>
      <c r="B33" s="40" t="s">
        <v>347</v>
      </c>
      <c r="C33" s="40" t="s">
        <v>348</v>
      </c>
      <c r="D33" s="34"/>
      <c r="E33" s="40" t="s">
        <v>346</v>
      </c>
      <c r="F33" s="40" t="s">
        <v>347</v>
      </c>
      <c r="G33" s="40" t="s">
        <v>348</v>
      </c>
      <c r="H33" s="35"/>
      <c r="I33" s="39" t="s">
        <v>346</v>
      </c>
      <c r="J33" s="40" t="s">
        <v>347</v>
      </c>
      <c r="K33" s="40" t="s">
        <v>348</v>
      </c>
      <c r="L33" s="34"/>
      <c r="M33" s="40" t="s">
        <v>346</v>
      </c>
      <c r="N33" s="37" t="s">
        <v>347</v>
      </c>
      <c r="O33" s="40" t="s">
        <v>348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349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349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70" t="s">
        <v>262</v>
      </c>
      <c r="B1" s="771"/>
      <c r="C1" s="17"/>
      <c r="D1" s="3" t="s">
        <v>263</v>
      </c>
      <c r="E1" s="3" t="s">
        <v>264</v>
      </c>
      <c r="F1" s="3" t="s">
        <v>265</v>
      </c>
      <c r="G1" s="3" t="s">
        <v>266</v>
      </c>
      <c r="H1" s="7" t="s">
        <v>267</v>
      </c>
    </row>
    <row r="2">
      <c r="A2" s="772"/>
      <c r="B2" s="773"/>
      <c r="C2" s="10" t="s">
        <v>268</v>
      </c>
      <c r="D2" s="1">
        <f>تسجيل1!E7</f>
        <v>800</v>
      </c>
      <c r="E2" s="1">
        <f>تسجيل1!E7</f>
        <v>800</v>
      </c>
      <c r="F2" s="1">
        <f>تسجيل1!E7</f>
        <v>800</v>
      </c>
      <c r="G2" s="1">
        <f>تسجيل1!E7</f>
        <v>800</v>
      </c>
      <c r="H2" s="8">
        <f>تسجيل1!E7</f>
        <v>800</v>
      </c>
    </row>
    <row r="3">
      <c r="A3" s="772"/>
      <c r="B3" s="773"/>
      <c r="C3" s="10" t="s">
        <v>269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72"/>
      <c r="B4" s="773"/>
      <c r="C4" s="10" t="s">
        <v>270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72"/>
      <c r="B5" s="773"/>
      <c r="H5" s="18"/>
      <c r="K5" s="1" t="s">
        <v>253</v>
      </c>
      <c r="L5" s="10" t="s">
        <v>271</v>
      </c>
    </row>
    <row r="6">
      <c r="A6" s="772"/>
      <c r="B6" s="773"/>
      <c r="C6" s="10" t="s">
        <v>272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273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800</v>
      </c>
      <c r="L6" s="10">
        <f>IF(Format!E8=1,تسجيل1!E7-30,IF(Format!E8=2,D7,IF(Format!E8=3,E7,IF(Format!E8=4,F7,IF(Format!E8=5,G7,IF(Format!E8=6,H7,"-----"))))))</f>
        <v>770</v>
      </c>
    </row>
    <row r="7">
      <c r="A7" s="774"/>
      <c r="B7" s="775"/>
      <c r="C7" s="19" t="s">
        <v>274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6" t="s">
        <v>275</v>
      </c>
      <c r="B10" s="777"/>
      <c r="C10" s="17"/>
      <c r="D10" s="3" t="s">
        <v>263</v>
      </c>
      <c r="E10" s="3" t="s">
        <v>264</v>
      </c>
      <c r="F10" s="3" t="s">
        <v>265</v>
      </c>
      <c r="G10" s="3" t="s">
        <v>266</v>
      </c>
      <c r="H10" s="7" t="s">
        <v>267</v>
      </c>
    </row>
    <row r="11">
      <c r="A11" s="778"/>
      <c r="B11" s="779"/>
      <c r="C11" s="10" t="s">
        <v>268</v>
      </c>
      <c r="D11" s="1">
        <f>تسجيل1!E7</f>
        <v>800</v>
      </c>
      <c r="E11" s="1">
        <f>تسجيل1!E7</f>
        <v>800</v>
      </c>
      <c r="F11" s="1">
        <f>تسجيل1!E7</f>
        <v>800</v>
      </c>
      <c r="G11" s="1">
        <f>تسجيل1!E7</f>
        <v>800</v>
      </c>
      <c r="H11" s="8">
        <f>تسجيل1!E7</f>
        <v>800</v>
      </c>
    </row>
    <row r="12">
      <c r="A12" s="778"/>
      <c r="B12" s="779"/>
      <c r="C12" s="10" t="s">
        <v>269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78"/>
      <c r="B13" s="779"/>
      <c r="C13" s="10" t="s">
        <v>270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253</v>
      </c>
      <c r="L13" s="10" t="s">
        <v>271</v>
      </c>
    </row>
    <row r="14">
      <c r="A14" s="778"/>
      <c r="B14" s="779"/>
      <c r="H14" s="18"/>
      <c r="J14" s="10" t="s">
        <v>273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800</v>
      </c>
      <c r="L14" s="10">
        <f>IF(Format!E8=1,تسجيل1!E7-30,IF(Format!E8=2,D16,IF(Format!E8=3,E16,IF(Format!E8=4,F16,IF(Format!E8=5,G16,IF(Format!E8=6,H16))))))</f>
        <v>770</v>
      </c>
    </row>
    <row r="15">
      <c r="A15" s="778"/>
      <c r="B15" s="779"/>
      <c r="C15" s="10" t="s">
        <v>272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276</v>
      </c>
      <c r="R15" s="10" t="s">
        <v>277</v>
      </c>
    </row>
    <row r="16">
      <c r="A16" s="780"/>
      <c r="B16" s="781"/>
      <c r="C16" s="19" t="s">
        <v>274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IF(Format!A7=1,K6,IF(Format!A7=3,K6,IF(Format!A7=4,K23,IF(Format!A7=2,K23,IF(Format!A7=5,K14,"------")))))</f>
        <v>800</v>
      </c>
      <c r="R16" s="10">
        <f>IF(Format!A7=1,L6,IF(Format!A7=3,L6,IF(Format!A7=4,L23,IF(Format!A7=2,L23+2,IF(Format!A7=5,L14,"------")))))</f>
        <v>772</v>
      </c>
    </row>
    <row r="19">
      <c r="A19" s="782" t="s">
        <v>278</v>
      </c>
      <c r="B19" s="783"/>
      <c r="C19" s="17"/>
      <c r="D19" s="3" t="s">
        <v>263</v>
      </c>
      <c r="E19" s="3" t="s">
        <v>264</v>
      </c>
      <c r="F19" s="3" t="s">
        <v>265</v>
      </c>
      <c r="G19" s="3" t="s">
        <v>266</v>
      </c>
      <c r="H19" s="7" t="s">
        <v>267</v>
      </c>
    </row>
    <row r="20">
      <c r="A20" s="784"/>
      <c r="B20" s="785"/>
      <c r="C20" s="10" t="s">
        <v>268</v>
      </c>
      <c r="D20" s="1">
        <f>تسجيل1!E7</f>
        <v>800</v>
      </c>
      <c r="E20" s="1">
        <f>تسجيل1!E7</f>
        <v>800</v>
      </c>
      <c r="F20" s="1">
        <f>تسجيل1!E7</f>
        <v>800</v>
      </c>
      <c r="G20" s="1">
        <f>تسجيل1!E7</f>
        <v>800</v>
      </c>
      <c r="H20" s="8">
        <f>تسجيل1!E7</f>
        <v>800</v>
      </c>
    </row>
    <row r="21">
      <c r="A21" s="784"/>
      <c r="B21" s="785"/>
      <c r="C21" s="10" t="s">
        <v>269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84"/>
      <c r="B22" s="785"/>
      <c r="C22" s="10" t="s">
        <v>270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253</v>
      </c>
      <c r="L22" s="10" t="s">
        <v>271</v>
      </c>
    </row>
    <row r="23">
      <c r="A23" s="784"/>
      <c r="B23" s="785"/>
      <c r="H23" s="18"/>
      <c r="J23" s="10" t="s">
        <v>273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800</v>
      </c>
      <c r="L23" s="10">
        <f>IF(Format!E8=1,تسجيل1!E7-30,IF(Format!E8=2,D25,IF(Format!E8=3,E25,IF(Format!E8=4,F25,IF(Format!E8=5,G25,IF(Format!E8=6,H25))))))</f>
        <v>770</v>
      </c>
    </row>
    <row r="24">
      <c r="A24" s="784"/>
      <c r="B24" s="785"/>
      <c r="C24" s="10" t="s">
        <v>272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6"/>
      <c r="B25" s="787"/>
      <c r="C25" s="19" t="s">
        <v>274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279</v>
      </c>
      <c r="K2" s="1" t="s">
        <v>280</v>
      </c>
      <c r="O2" s="1" t="s">
        <v>281</v>
      </c>
    </row>
    <row r="3">
      <c r="A3" s="1" t="s">
        <v>252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282</v>
      </c>
      <c r="B4" s="1">
        <f>تسجيل1!C7</f>
        <v>500</v>
      </c>
      <c r="J4" s="15">
        <v>4</v>
      </c>
      <c r="K4" s="15">
        <v>2</v>
      </c>
    </row>
    <row r="5">
      <c r="A5" s="1" t="s">
        <v>253</v>
      </c>
      <c r="B5" s="1">
        <f>تسجيل1!E7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279</v>
      </c>
      <c r="B6" s="1">
        <f>'Cutting Ro-1'!L14</f>
        <v>12</v>
      </c>
      <c r="C6" s="1" t="s">
        <v>283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284</v>
      </c>
      <c r="B9" s="1">
        <f>O8</f>
        <v>5</v>
      </c>
      <c r="J9" s="15">
        <v>9</v>
      </c>
      <c r="K9" s="15">
        <v>4</v>
      </c>
    </row>
    <row r="10">
      <c r="A10" s="12" t="s">
        <v>285</v>
      </c>
      <c r="B10" s="13">
        <f>(((B4-(تسجيل1!C22*2))/200)+1)*B9</f>
        <v>15</v>
      </c>
      <c r="C10" s="638" t="s">
        <v>286</v>
      </c>
      <c r="D10" s="638"/>
      <c r="E10" s="14">
        <f>ROUND(B10,0)</f>
        <v>15</v>
      </c>
      <c r="J10" s="15">
        <v>10</v>
      </c>
      <c r="K10" s="15">
        <v>4</v>
      </c>
    </row>
    <row r="11">
      <c r="A11" s="12" t="s">
        <v>287</v>
      </c>
      <c r="B11" s="13">
        <f>E10/B9</f>
        <v>3</v>
      </c>
      <c r="C11" s="638" t="s">
        <v>286</v>
      </c>
      <c r="D11" s="638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288</v>
      </c>
      <c r="B12" s="14">
        <f>E11*B9</f>
        <v>15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opLeftCell="V1" zoomScale="40" zoomScaleNormal="40" zoomScaleSheetLayoutView="70" zoomScalePageLayoutView="25" workbookViewId="0">
      <selection activeCell="AE10" sqref="AE10:AQ16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6"/>
    <col min="13" max="13" width="5.140625" customWidth="1" style="416"/>
    <col min="14" max="16" width="20.5703125" customWidth="1" style="416"/>
    <col min="17" max="17" width="6.140625" customWidth="1" style="416"/>
    <col min="18" max="18" width="61.5703125" customWidth="1" style="416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7"/>
    <col min="56" max="66" width="24.5703125" customWidth="1"/>
  </cols>
  <sheetData>
    <row r="1" ht="45.75" customHeight="1">
      <c r="A1" s="574"/>
      <c r="B1" s="574"/>
      <c r="C1" s="574"/>
      <c r="D1" s="574"/>
      <c r="E1" s="574"/>
      <c r="F1" s="574"/>
      <c r="G1" s="574"/>
      <c r="H1" s="574"/>
      <c r="I1" s="574"/>
      <c r="J1" s="574"/>
      <c r="K1" s="574"/>
      <c r="L1" s="574"/>
      <c r="M1" s="574"/>
      <c r="N1" s="574"/>
      <c r="O1" s="574"/>
      <c r="P1" s="574"/>
      <c r="Q1" s="574"/>
      <c r="R1" s="601"/>
      <c r="S1" s="419" t="s">
        <v>160</v>
      </c>
      <c r="T1" s="419"/>
      <c r="U1" s="419"/>
      <c r="V1" s="418"/>
      <c r="W1" s="420"/>
      <c r="X1" s="418"/>
      <c r="Y1" s="418"/>
      <c r="Z1" s="418"/>
      <c r="AA1" s="418"/>
      <c r="AB1" s="418"/>
      <c r="AC1" s="418"/>
      <c r="AD1" s="417"/>
      <c r="AE1" s="418"/>
      <c r="AF1" s="418"/>
      <c r="AG1" s="418"/>
      <c r="AH1" s="418"/>
      <c r="AI1" s="418"/>
      <c r="AJ1" s="418"/>
      <c r="AK1" s="418"/>
      <c r="AR1" s="417"/>
      <c r="AS1" s="419" t="s">
        <v>161</v>
      </c>
      <c r="AT1" s="419"/>
      <c r="AU1" s="419"/>
      <c r="AV1" s="418"/>
      <c r="AW1" s="420"/>
      <c r="AX1" s="418"/>
      <c r="AY1" s="418"/>
      <c r="AZ1" s="418"/>
      <c r="BA1" s="418"/>
      <c r="BB1" s="418"/>
      <c r="BD1" s="419" t="s">
        <v>162</v>
      </c>
      <c r="BE1" s="419"/>
      <c r="BF1" s="615"/>
      <c r="BG1" s="615"/>
      <c r="BH1" s="615"/>
      <c r="BI1" s="615"/>
      <c r="BJ1" s="615"/>
      <c r="BK1" s="615"/>
      <c r="BL1" s="615"/>
      <c r="BM1" s="615"/>
      <c r="BN1" s="615"/>
    </row>
    <row r="2" ht="45" customHeight="1">
      <c r="A2" s="574"/>
      <c r="B2" s="574"/>
      <c r="C2" s="574"/>
      <c r="D2" s="574"/>
      <c r="E2" s="574"/>
      <c r="F2" s="574"/>
      <c r="G2" s="574"/>
      <c r="H2" s="574"/>
      <c r="I2" s="574"/>
      <c r="J2" s="574"/>
      <c r="K2" s="574"/>
      <c r="L2" s="574"/>
      <c r="M2" s="574"/>
      <c r="N2" s="574"/>
      <c r="O2" s="574"/>
      <c r="P2" s="574"/>
      <c r="Q2" s="574"/>
      <c r="R2" s="601"/>
      <c r="S2" s="421" t="s">
        <v>163</v>
      </c>
      <c r="T2" s="422">
        <f>IF((V14="ok"),Royal!G80,"R")</f>
        <v>272406.276043558</v>
      </c>
      <c r="U2" s="423"/>
      <c r="V2" s="418"/>
      <c r="W2" s="418"/>
      <c r="X2" s="418"/>
      <c r="Y2" s="418"/>
      <c r="Z2" s="418"/>
      <c r="AA2" s="418"/>
      <c r="AB2" s="418"/>
      <c r="AC2" s="418"/>
      <c r="AD2" s="417"/>
      <c r="AE2" s="418"/>
      <c r="AF2" s="602" t="s">
        <v>163</v>
      </c>
      <c r="AG2" s="614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614"/>
      <c r="AI2" s="425"/>
      <c r="AJ2" s="425"/>
      <c r="AK2" s="425"/>
      <c r="AR2" s="417"/>
      <c r="AS2" s="475" t="s">
        <v>163</v>
      </c>
      <c r="AT2" s="476">
        <f>IF((AV14="OK"),wavy1!R72,"R")</f>
        <v>74993.228289473685</v>
      </c>
      <c r="AU2" s="423"/>
      <c r="AV2" s="418"/>
      <c r="AW2" s="418"/>
      <c r="AX2" s="418"/>
      <c r="AY2" s="418"/>
      <c r="AZ2" s="418"/>
      <c r="BA2" s="418"/>
      <c r="BB2" s="418"/>
      <c r="BD2" s="490" t="s">
        <v>163</v>
      </c>
      <c r="BE2" s="490">
        <f>IF((BG14="OK"),wavy2!R72,"R")</f>
        <v>100584.25045614038</v>
      </c>
      <c r="BF2" s="615"/>
      <c r="BG2" s="615"/>
      <c r="BH2" s="615"/>
      <c r="BI2" s="615"/>
      <c r="BJ2" s="615"/>
      <c r="BK2" s="615"/>
      <c r="BL2" s="615"/>
      <c r="BM2" s="615"/>
      <c r="BN2" s="615"/>
    </row>
    <row r="3" ht="54.75" customHeight="1">
      <c r="A3" s="574"/>
      <c r="B3" s="574"/>
      <c r="C3" s="574"/>
      <c r="D3" s="574"/>
      <c r="E3" s="574"/>
      <c r="F3" s="574"/>
      <c r="G3" s="574"/>
      <c r="H3" s="574"/>
      <c r="I3" s="574"/>
      <c r="J3" s="574"/>
      <c r="K3" s="574"/>
      <c r="L3" s="574"/>
      <c r="M3" s="574"/>
      <c r="N3" s="574"/>
      <c r="O3" s="574"/>
      <c r="P3" s="574"/>
      <c r="Q3" s="574"/>
      <c r="R3" s="601"/>
      <c r="S3" s="531" t="s">
        <v>127</v>
      </c>
      <c r="T3" s="424">
        <f>T2/(AA10*X8)*10000</f>
        <v>6810.1569010889507</v>
      </c>
      <c r="U3" s="423"/>
      <c r="V3" s="425"/>
      <c r="W3" s="418"/>
      <c r="X3" s="418"/>
      <c r="Y3" s="418"/>
      <c r="Z3" s="418"/>
      <c r="AA3" s="418"/>
      <c r="AB3" s="418"/>
      <c r="AC3" s="418"/>
      <c r="AD3" s="417"/>
      <c r="AE3" s="418"/>
      <c r="AF3" s="602"/>
      <c r="AG3" s="614"/>
      <c r="AH3" s="614"/>
      <c r="AI3" s="425"/>
      <c r="AJ3" s="425"/>
      <c r="AK3" s="425"/>
      <c r="AL3" s="418"/>
      <c r="AM3" s="418"/>
      <c r="AN3" s="418"/>
      <c r="AO3" s="418"/>
      <c r="AP3" s="418"/>
      <c r="AQ3" s="418"/>
      <c r="AR3" s="417"/>
      <c r="AS3" s="475" t="s">
        <v>127</v>
      </c>
      <c r="AT3" s="477">
        <f>AT2/(AV10*BA12)*10000</f>
        <v>5999.4582631578951</v>
      </c>
      <c r="AU3" s="423"/>
      <c r="AV3" s="425"/>
      <c r="AW3" s="418"/>
      <c r="AX3" s="418"/>
      <c r="AY3" s="418"/>
      <c r="AZ3" s="418"/>
      <c r="BA3" s="418"/>
      <c r="BB3" s="418"/>
      <c r="BD3" s="491" t="s">
        <v>127</v>
      </c>
      <c r="BE3" s="498">
        <f>BE2/(BG10*BL12)*10000</f>
        <v>2873.8357273182964</v>
      </c>
      <c r="BF3" s="615"/>
      <c r="BG3" s="615"/>
      <c r="BH3" s="615"/>
      <c r="BI3" s="615"/>
      <c r="BJ3" s="615"/>
      <c r="BK3" s="615"/>
      <c r="BL3" s="615"/>
      <c r="BM3" s="615"/>
      <c r="BN3" s="615"/>
    </row>
    <row r="4" ht="55.5" customHeight="1">
      <c r="A4" s="574"/>
      <c r="B4" s="574"/>
      <c r="C4" s="574"/>
      <c r="D4" s="574"/>
      <c r="E4" s="574"/>
      <c r="F4" s="574"/>
      <c r="G4" s="574"/>
      <c r="H4" s="574"/>
      <c r="I4" s="574"/>
      <c r="J4" s="574"/>
      <c r="K4" s="574"/>
      <c r="L4" s="574"/>
      <c r="M4" s="574"/>
      <c r="N4" s="574"/>
      <c r="O4" s="574"/>
      <c r="P4" s="574"/>
      <c r="Q4" s="574"/>
      <c r="R4" s="601"/>
      <c r="S4" s="533" t="s">
        <v>164</v>
      </c>
      <c r="T4" s="534" t="s">
        <v>21</v>
      </c>
      <c r="U4" s="428"/>
      <c r="V4" s="428"/>
      <c r="W4" s="428"/>
      <c r="X4" s="428"/>
      <c r="Y4" s="428"/>
      <c r="Z4" s="428"/>
      <c r="AA4" s="428"/>
      <c r="AB4" s="418"/>
      <c r="AC4" s="423"/>
      <c r="AD4" s="417"/>
      <c r="AE4" s="418"/>
      <c r="AF4" s="602"/>
      <c r="AG4" s="614"/>
      <c r="AH4" s="614"/>
      <c r="AI4" s="418"/>
      <c r="AJ4" s="418"/>
      <c r="AK4" s="418"/>
      <c r="AL4" s="418"/>
      <c r="AM4" s="418"/>
      <c r="AN4" s="418"/>
      <c r="AO4" s="418"/>
      <c r="AP4" s="418"/>
      <c r="AQ4" s="418"/>
      <c r="AR4" s="417"/>
      <c r="AS4" s="429" t="s">
        <v>164</v>
      </c>
      <c r="AT4" s="427" t="s">
        <v>21</v>
      </c>
      <c r="AU4" s="428"/>
      <c r="AV4" s="428"/>
      <c r="AW4" s="428"/>
      <c r="AX4" s="428"/>
      <c r="AY4" s="428"/>
      <c r="AZ4" s="428"/>
      <c r="BA4" s="428"/>
      <c r="BB4" s="418"/>
      <c r="BD4" s="492" t="s">
        <v>164</v>
      </c>
      <c r="BE4" s="498" t="s">
        <v>38</v>
      </c>
      <c r="BF4" s="616"/>
      <c r="BG4" s="617"/>
      <c r="BH4" s="617"/>
      <c r="BI4" s="617"/>
      <c r="BJ4" s="617"/>
      <c r="BK4" s="617"/>
      <c r="BL4" s="617"/>
      <c r="BM4" s="617"/>
      <c r="BN4" s="613"/>
    </row>
    <row r="5" ht="55.5" customHeight="1">
      <c r="A5" s="574"/>
      <c r="B5" s="574"/>
      <c r="C5" s="574"/>
      <c r="D5" s="574"/>
      <c r="E5" s="574"/>
      <c r="F5" s="574"/>
      <c r="G5" s="574"/>
      <c r="H5" s="574"/>
      <c r="I5" s="574"/>
      <c r="J5" s="574"/>
      <c r="K5" s="574"/>
      <c r="L5" s="574"/>
      <c r="M5" s="574"/>
      <c r="N5" s="574"/>
      <c r="O5" s="574"/>
      <c r="P5" s="574"/>
      <c r="Q5" s="574"/>
      <c r="R5" s="601"/>
      <c r="S5" s="533" t="s">
        <v>165</v>
      </c>
      <c r="T5" s="535" t="s">
        <v>166</v>
      </c>
      <c r="U5" s="428"/>
      <c r="V5" s="428"/>
      <c r="W5" s="428"/>
      <c r="X5" s="428"/>
      <c r="Y5" s="428"/>
      <c r="Z5" s="428"/>
      <c r="AA5" s="428"/>
      <c r="AB5" s="416"/>
      <c r="AC5" s="418"/>
      <c r="AD5" s="417"/>
      <c r="AE5" s="418"/>
      <c r="AF5" s="418"/>
      <c r="AG5" s="418"/>
      <c r="AH5" s="418"/>
      <c r="AI5" s="418"/>
      <c r="AJ5" s="468"/>
      <c r="AK5" s="468"/>
      <c r="AL5" s="418"/>
      <c r="AM5" s="418"/>
      <c r="AN5" s="418"/>
      <c r="AO5" s="418"/>
      <c r="AP5" s="418"/>
      <c r="AQ5" s="418"/>
      <c r="AR5" s="417"/>
      <c r="AS5" s="429" t="s">
        <v>165</v>
      </c>
      <c r="AT5" s="545" t="s">
        <v>167</v>
      </c>
      <c r="AU5" s="428"/>
      <c r="AV5" s="428"/>
      <c r="AW5" s="428"/>
      <c r="AX5" s="428"/>
      <c r="AY5" s="428"/>
      <c r="AZ5" s="428"/>
      <c r="BA5" s="428"/>
      <c r="BB5" s="416"/>
      <c r="BD5" s="493" t="s">
        <v>165</v>
      </c>
      <c r="BE5" s="546" t="s">
        <v>167</v>
      </c>
      <c r="BF5" s="616"/>
      <c r="BG5" s="617"/>
      <c r="BH5" s="617"/>
      <c r="BI5" s="617"/>
      <c r="BJ5" s="617"/>
      <c r="BK5" s="617"/>
      <c r="BL5" s="617"/>
      <c r="BM5" s="617"/>
      <c r="BN5" s="613"/>
    </row>
    <row r="6" ht="55.5" customHeight="1">
      <c r="A6" s="574"/>
      <c r="B6" s="574"/>
      <c r="C6" s="574"/>
      <c r="D6" s="574"/>
      <c r="E6" s="574"/>
      <c r="F6" s="574"/>
      <c r="G6" s="574"/>
      <c r="H6" s="574"/>
      <c r="I6" s="574"/>
      <c r="J6" s="574"/>
      <c r="K6" s="574"/>
      <c r="L6" s="574"/>
      <c r="M6" s="574"/>
      <c r="N6" s="574"/>
      <c r="O6" s="574"/>
      <c r="P6" s="574"/>
      <c r="Q6" s="574"/>
      <c r="R6" s="601"/>
      <c r="S6" s="533" t="s">
        <v>168</v>
      </c>
      <c r="T6" s="534" t="s">
        <v>169</v>
      </c>
      <c r="U6" s="428"/>
      <c r="V6" s="428"/>
      <c r="W6" s="428"/>
      <c r="X6" s="428"/>
      <c r="Y6" s="428"/>
      <c r="Z6" s="428"/>
      <c r="AA6" s="428"/>
      <c r="AB6" s="416"/>
      <c r="AC6" s="418"/>
      <c r="AD6" s="417"/>
      <c r="AE6" s="418"/>
      <c r="AF6" s="418"/>
      <c r="AG6" s="418"/>
      <c r="AH6" s="418"/>
      <c r="AI6" s="469" t="s">
        <v>170</v>
      </c>
      <c r="AJ6" s="469" t="s">
        <v>171</v>
      </c>
      <c r="AK6" s="470" t="s">
        <v>172</v>
      </c>
      <c r="AL6" s="469" t="s">
        <v>173</v>
      </c>
      <c r="AM6" s="469" t="s">
        <v>174</v>
      </c>
      <c r="AN6" s="471" t="s">
        <v>175</v>
      </c>
      <c r="AO6" s="618" t="s">
        <v>176</v>
      </c>
      <c r="AP6" s="619"/>
      <c r="AQ6" s="418"/>
      <c r="AR6" s="417"/>
      <c r="AS6" s="431" t="s">
        <v>168</v>
      </c>
      <c r="AT6" s="432" t="s">
        <v>169</v>
      </c>
      <c r="AU6" s="478"/>
      <c r="AV6" s="478"/>
      <c r="AW6" s="478"/>
      <c r="AX6" s="478"/>
      <c r="AY6" s="478"/>
      <c r="AZ6" s="478"/>
      <c r="BA6" s="478"/>
      <c r="BB6" s="478"/>
      <c r="BD6" s="493" t="s">
        <v>168</v>
      </c>
      <c r="BE6" s="498" t="s">
        <v>177</v>
      </c>
      <c r="BF6" s="478"/>
      <c r="BG6" s="478"/>
      <c r="BH6" s="478"/>
      <c r="BI6" s="478"/>
      <c r="BJ6" s="478"/>
      <c r="BK6" s="478"/>
      <c r="BL6" s="478"/>
      <c r="BM6" s="478"/>
      <c r="BN6" s="613"/>
    </row>
    <row r="7" ht="18.75" customHeight="1">
      <c r="A7" s="574"/>
      <c r="B7" s="574"/>
      <c r="C7" s="574"/>
      <c r="D7" s="574"/>
      <c r="E7" s="574"/>
      <c r="F7" s="574"/>
      <c r="G7" s="574"/>
      <c r="H7" s="574"/>
      <c r="I7" s="574"/>
      <c r="J7" s="574"/>
      <c r="K7" s="574"/>
      <c r="L7" s="574"/>
      <c r="M7" s="574"/>
      <c r="N7" s="574"/>
      <c r="O7" s="574"/>
      <c r="P7" s="574"/>
      <c r="Q7" s="574"/>
      <c r="R7" s="601"/>
      <c r="S7" s="529"/>
      <c r="T7" s="530"/>
      <c r="U7" s="435"/>
      <c r="V7" s="435"/>
      <c r="W7" s="435"/>
      <c r="X7" s="436"/>
      <c r="Y7" s="436"/>
      <c r="Z7" s="428"/>
      <c r="AA7" s="428"/>
      <c r="AB7" s="416"/>
      <c r="AC7" s="418"/>
      <c r="AD7" s="417"/>
      <c r="AE7" s="418"/>
      <c r="AF7" s="418"/>
      <c r="AG7" s="418"/>
      <c r="AH7" s="418"/>
      <c r="AI7" s="418"/>
      <c r="AJ7" s="418"/>
      <c r="AK7" s="418"/>
      <c r="AL7" s="418"/>
      <c r="AM7" s="418"/>
      <c r="AN7" s="418"/>
      <c r="AO7" s="418"/>
      <c r="AP7" s="418"/>
      <c r="AQ7" s="418"/>
      <c r="AR7" s="417"/>
      <c r="AS7" s="433"/>
      <c r="AT7" s="434"/>
      <c r="AU7" s="479"/>
      <c r="AV7" s="479"/>
      <c r="AW7" s="479"/>
      <c r="AX7" s="494"/>
      <c r="AY7" s="494"/>
      <c r="AZ7" s="478"/>
      <c r="BA7" s="478"/>
      <c r="BB7" s="478"/>
      <c r="BD7" s="433"/>
      <c r="BE7" s="434"/>
      <c r="BF7" s="478"/>
      <c r="BG7" s="478"/>
      <c r="BH7" s="478"/>
      <c r="BI7" s="478"/>
      <c r="BJ7" s="478"/>
      <c r="BK7" s="478"/>
      <c r="BL7" s="478"/>
      <c r="BM7" s="478"/>
      <c r="BN7" s="613"/>
    </row>
    <row r="8" ht="55.5" customHeight="1">
      <c r="A8" s="418"/>
      <c r="B8" s="584" t="s">
        <v>178</v>
      </c>
      <c r="C8" s="584"/>
      <c r="D8" s="584"/>
      <c r="E8" s="418"/>
      <c r="F8" s="586"/>
      <c r="G8" s="586"/>
      <c r="H8" s="586"/>
      <c r="I8" s="574"/>
      <c r="J8" s="575"/>
      <c r="K8" s="575"/>
      <c r="L8" s="575"/>
      <c r="M8" s="574"/>
      <c r="N8" s="585"/>
      <c r="O8" s="585"/>
      <c r="P8" s="585"/>
      <c r="Q8" s="418"/>
      <c r="R8" s="601"/>
      <c r="S8" s="571"/>
      <c r="T8" s="571"/>
      <c r="U8" s="416"/>
      <c r="V8" s="416"/>
      <c r="W8" s="416"/>
      <c r="X8" s="437">
        <v>800</v>
      </c>
      <c r="Y8" s="416"/>
      <c r="Z8" s="416"/>
      <c r="AA8" s="416"/>
      <c r="AB8" s="416"/>
      <c r="AC8" s="418"/>
      <c r="AD8" s="417"/>
      <c r="AE8" s="418"/>
      <c r="AF8" s="418"/>
      <c r="AG8" s="418"/>
      <c r="AH8" s="418"/>
      <c r="AI8" s="472" t="s">
        <v>179</v>
      </c>
      <c r="AJ8" s="473" t="s">
        <v>180</v>
      </c>
      <c r="AK8" s="473">
        <v>2.5</v>
      </c>
      <c r="AL8" s="473" t="s">
        <v>169</v>
      </c>
      <c r="AM8" s="473" t="s">
        <v>181</v>
      </c>
      <c r="AN8" s="474" t="s">
        <v>182</v>
      </c>
      <c r="AO8" s="620"/>
      <c r="AP8" s="621"/>
      <c r="AQ8" s="418"/>
      <c r="AR8" s="417"/>
      <c r="AS8" s="442"/>
      <c r="AT8" s="442"/>
      <c r="AU8" s="478"/>
      <c r="AV8" s="478"/>
      <c r="AW8" s="478"/>
      <c r="AX8" s="478"/>
      <c r="AY8" s="478"/>
      <c r="AZ8" s="478"/>
      <c r="BA8" s="478"/>
      <c r="BB8" s="478"/>
      <c r="BD8" s="442"/>
      <c r="BE8" s="442"/>
      <c r="BF8" s="478"/>
      <c r="BG8" s="478"/>
      <c r="BH8" s="478"/>
      <c r="BI8" s="478"/>
      <c r="BJ8" s="478"/>
      <c r="BK8" s="478"/>
      <c r="BL8" s="478"/>
      <c r="BM8" s="478"/>
      <c r="BN8" s="613"/>
    </row>
    <row r="9" ht="55.5" customHeight="1">
      <c r="A9" s="418"/>
      <c r="B9" s="584"/>
      <c r="C9" s="584"/>
      <c r="D9" s="584"/>
      <c r="E9" s="418"/>
      <c r="F9" s="586"/>
      <c r="G9" s="586"/>
      <c r="H9" s="586"/>
      <c r="I9" s="574"/>
      <c r="J9" s="575"/>
      <c r="K9" s="575"/>
      <c r="L9" s="575"/>
      <c r="M9" s="574"/>
      <c r="N9" s="585"/>
      <c r="O9" s="585"/>
      <c r="P9" s="585"/>
      <c r="Q9" s="418"/>
      <c r="R9" s="601"/>
      <c r="S9" s="572"/>
      <c r="T9" s="572"/>
      <c r="U9" s="416"/>
      <c r="V9" s="416"/>
      <c r="W9" s="416"/>
      <c r="X9" s="416"/>
      <c r="Y9" s="416"/>
      <c r="Z9" s="416"/>
      <c r="AA9" s="416"/>
      <c r="AB9" s="416"/>
      <c r="AC9" s="418"/>
      <c r="AD9" s="417"/>
      <c r="AE9" s="418"/>
      <c r="AF9" s="418"/>
      <c r="AG9" s="418"/>
      <c r="AH9" s="418"/>
      <c r="AI9" s="418"/>
      <c r="AJ9" s="418"/>
      <c r="AK9" s="418"/>
      <c r="AL9" s="418"/>
      <c r="AM9" s="418"/>
      <c r="AN9" s="418"/>
      <c r="AO9" s="418"/>
      <c r="AP9" s="418"/>
      <c r="AQ9" s="418"/>
      <c r="AR9" s="417"/>
      <c r="AS9" s="426" t="s">
        <v>183</v>
      </c>
      <c r="AT9" s="427" t="s">
        <v>184</v>
      </c>
      <c r="AU9" s="478"/>
      <c r="AV9" s="478"/>
      <c r="AW9" s="478"/>
      <c r="AX9" s="478"/>
      <c r="AY9" s="478"/>
      <c r="AZ9" s="478"/>
      <c r="BA9" s="478"/>
      <c r="BB9" s="478"/>
      <c r="BD9" s="426" t="s">
        <v>183</v>
      </c>
      <c r="BE9" s="427" t="s">
        <v>184</v>
      </c>
      <c r="BF9" s="478"/>
      <c r="BG9" s="478"/>
      <c r="BH9" s="478"/>
      <c r="BI9" s="478"/>
      <c r="BJ9" s="478"/>
      <c r="BK9" s="478"/>
      <c r="BL9" s="478"/>
      <c r="BM9" s="478"/>
      <c r="BN9" s="613"/>
    </row>
    <row r="10" ht="55.5" customHeight="1">
      <c r="A10" s="418"/>
      <c r="B10" s="584"/>
      <c r="C10" s="584"/>
      <c r="D10" s="584"/>
      <c r="E10" s="418"/>
      <c r="F10" s="586"/>
      <c r="G10" s="586"/>
      <c r="H10" s="586"/>
      <c r="I10" s="574"/>
      <c r="J10" s="575"/>
      <c r="K10" s="575"/>
      <c r="L10" s="575"/>
      <c r="M10" s="574"/>
      <c r="N10" s="585"/>
      <c r="O10" s="585"/>
      <c r="P10" s="585"/>
      <c r="Q10" s="418"/>
      <c r="R10" s="601"/>
      <c r="S10" s="532" t="s">
        <v>185</v>
      </c>
      <c r="T10" s="427" t="s">
        <v>186</v>
      </c>
      <c r="U10" s="416"/>
      <c r="V10" s="438"/>
      <c r="W10" s="438"/>
      <c r="X10" s="438"/>
      <c r="Y10" s="438"/>
      <c r="Z10" s="438"/>
      <c r="AA10" s="437">
        <v>500</v>
      </c>
      <c r="AB10" s="416"/>
      <c r="AC10" s="418"/>
      <c r="AD10" s="417"/>
      <c r="AE10" s="573" t="s">
        <v>187</v>
      </c>
      <c r="AF10" s="573"/>
      <c r="AG10" s="573"/>
      <c r="AH10" s="573"/>
      <c r="AI10" s="573"/>
      <c r="AJ10" s="573"/>
      <c r="AK10" s="573"/>
      <c r="AL10" s="573"/>
      <c r="AM10" s="573"/>
      <c r="AN10" s="573"/>
      <c r="AO10" s="573"/>
      <c r="AP10" s="573"/>
      <c r="AQ10" s="573"/>
      <c r="AR10" s="417"/>
      <c r="AS10" s="426" t="s">
        <v>185</v>
      </c>
      <c r="AT10" s="427" t="s">
        <v>186</v>
      </c>
      <c r="AU10" s="478"/>
      <c r="AV10" s="480">
        <v>250</v>
      </c>
      <c r="AW10" s="481"/>
      <c r="AX10" s="481"/>
      <c r="AY10" s="481"/>
      <c r="AZ10" s="481"/>
      <c r="BA10" s="478"/>
      <c r="BB10" s="478"/>
      <c r="BD10" s="426" t="s">
        <v>185</v>
      </c>
      <c r="BE10" s="427" t="s">
        <v>186</v>
      </c>
      <c r="BF10" s="478"/>
      <c r="BG10" s="480">
        <v>500</v>
      </c>
      <c r="BH10" s="481"/>
      <c r="BI10" s="481"/>
      <c r="BJ10" s="481"/>
      <c r="BK10" s="481"/>
      <c r="BL10" s="478"/>
      <c r="BM10" s="478"/>
      <c r="BN10" s="613"/>
    </row>
    <row r="11" ht="18.75" customHeight="1">
      <c r="A11" s="418"/>
      <c r="B11" s="418"/>
      <c r="C11" s="418"/>
      <c r="D11" s="418"/>
      <c r="E11" s="418"/>
      <c r="F11" s="418"/>
      <c r="G11" s="418"/>
      <c r="H11" s="418"/>
      <c r="I11" s="418"/>
      <c r="J11" s="418"/>
      <c r="K11" s="418"/>
      <c r="L11" s="418"/>
      <c r="M11" s="418"/>
      <c r="N11" s="418"/>
      <c r="O11" s="418"/>
      <c r="P11" s="418"/>
      <c r="Q11" s="418"/>
      <c r="R11" s="601"/>
      <c r="S11" s="439"/>
      <c r="T11" s="440"/>
      <c r="U11" s="416"/>
      <c r="V11" s="438"/>
      <c r="W11" s="438"/>
      <c r="X11" s="438"/>
      <c r="Y11" s="438"/>
      <c r="Z11" s="438"/>
      <c r="AA11" s="438"/>
      <c r="AB11" s="416"/>
      <c r="AC11" s="418"/>
      <c r="AD11" s="417"/>
      <c r="AE11" s="573"/>
      <c r="AF11" s="573"/>
      <c r="AG11" s="573"/>
      <c r="AH11" s="573"/>
      <c r="AI11" s="573"/>
      <c r="AJ11" s="573"/>
      <c r="AK11" s="573"/>
      <c r="AL11" s="573"/>
      <c r="AM11" s="573"/>
      <c r="AN11" s="573"/>
      <c r="AO11" s="573"/>
      <c r="AP11" s="573"/>
      <c r="AQ11" s="573"/>
      <c r="AR11" s="417"/>
      <c r="AS11" s="439"/>
      <c r="AT11" s="440"/>
      <c r="AU11" s="478"/>
      <c r="AV11" s="481"/>
      <c r="AW11" s="481"/>
      <c r="AX11" s="481"/>
      <c r="AY11" s="481"/>
      <c r="AZ11" s="481"/>
      <c r="BA11" s="481"/>
      <c r="BB11" s="478"/>
      <c r="BD11" s="439"/>
      <c r="BE11" s="440"/>
      <c r="BF11" s="478"/>
      <c r="BG11" s="481"/>
      <c r="BH11" s="481"/>
      <c r="BI11" s="481"/>
      <c r="BJ11" s="481"/>
      <c r="BK11" s="481"/>
      <c r="BL11" s="481"/>
      <c r="BM11" s="478"/>
      <c r="BN11" s="613"/>
    </row>
    <row r="12" ht="55.5" customHeight="1" s="416" customFormat="1">
      <c r="A12" s="418"/>
      <c r="B12" s="575"/>
      <c r="C12" s="575"/>
      <c r="D12" s="575"/>
      <c r="E12" s="418"/>
      <c r="F12" s="577"/>
      <c r="G12" s="577"/>
      <c r="H12" s="577"/>
      <c r="I12" s="574"/>
      <c r="J12" s="575"/>
      <c r="K12" s="575"/>
      <c r="L12" s="575"/>
      <c r="M12" s="574"/>
      <c r="N12" s="576"/>
      <c r="O12" s="576"/>
      <c r="P12" s="576"/>
      <c r="Q12" s="418"/>
      <c r="R12" s="601"/>
      <c r="S12" s="533" t="s">
        <v>188</v>
      </c>
      <c r="T12" s="536"/>
      <c r="AC12" s="418"/>
      <c r="AD12" s="417"/>
      <c r="AE12" s="573"/>
      <c r="AF12" s="573"/>
      <c r="AG12" s="573"/>
      <c r="AH12" s="573"/>
      <c r="AI12" s="573"/>
      <c r="AJ12" s="573"/>
      <c r="AK12" s="573"/>
      <c r="AL12" s="573"/>
      <c r="AM12" s="573"/>
      <c r="AN12" s="573"/>
      <c r="AO12" s="573"/>
      <c r="AP12" s="573"/>
      <c r="AQ12" s="573"/>
      <c r="AR12" s="417"/>
      <c r="AS12" s="441" t="s">
        <v>188</v>
      </c>
      <c r="AT12" s="442"/>
      <c r="AU12" s="478"/>
      <c r="AV12" s="478"/>
      <c r="AW12" s="478"/>
      <c r="AX12" s="478"/>
      <c r="AY12" s="478"/>
      <c r="AZ12" s="478"/>
      <c r="BA12" s="480">
        <v>500</v>
      </c>
      <c r="BB12" s="478"/>
      <c r="BC12" s="417"/>
      <c r="BD12" s="495" t="s">
        <v>188</v>
      </c>
      <c r="BE12" s="499"/>
      <c r="BF12" s="478"/>
      <c r="BG12" s="478"/>
      <c r="BH12" s="478"/>
      <c r="BI12" s="478"/>
      <c r="BJ12" s="478"/>
      <c r="BK12" s="478"/>
      <c r="BL12" s="480">
        <v>700</v>
      </c>
      <c r="BM12" s="478"/>
      <c r="BN12" s="613"/>
    </row>
    <row r="13" ht="55.5" customHeight="1" s="416" customFormat="1">
      <c r="A13" s="418"/>
      <c r="B13" s="575"/>
      <c r="C13" s="575"/>
      <c r="D13" s="575"/>
      <c r="E13" s="418"/>
      <c r="F13" s="577"/>
      <c r="G13" s="577"/>
      <c r="H13" s="577"/>
      <c r="I13" s="574"/>
      <c r="J13" s="575"/>
      <c r="K13" s="575"/>
      <c r="L13" s="575"/>
      <c r="M13" s="574"/>
      <c r="N13" s="576"/>
      <c r="O13" s="576"/>
      <c r="P13" s="576"/>
      <c r="Q13" s="418"/>
      <c r="R13" s="601"/>
      <c r="S13" s="538" t="s">
        <v>189</v>
      </c>
      <c r="T13" s="499"/>
      <c r="AC13" s="418"/>
      <c r="AD13" s="417"/>
      <c r="AE13" s="573"/>
      <c r="AF13" s="573"/>
      <c r="AG13" s="573"/>
      <c r="AH13" s="573"/>
      <c r="AI13" s="573"/>
      <c r="AJ13" s="573"/>
      <c r="AK13" s="573"/>
      <c r="AL13" s="573"/>
      <c r="AM13" s="573"/>
      <c r="AN13" s="573"/>
      <c r="AO13" s="573"/>
      <c r="AP13" s="573"/>
      <c r="AQ13" s="573"/>
      <c r="AR13" s="417"/>
      <c r="AS13" s="441" t="s">
        <v>189</v>
      </c>
      <c r="AT13" s="441"/>
      <c r="AU13" s="478"/>
      <c r="AV13" s="478"/>
      <c r="AW13" s="478"/>
      <c r="AX13" s="478"/>
      <c r="AY13" s="478"/>
      <c r="AZ13" s="478"/>
      <c r="BA13" s="478" t="s">
        <v>190</v>
      </c>
      <c r="BB13" s="478"/>
      <c r="BC13" s="417"/>
      <c r="BD13" s="495" t="s">
        <v>189</v>
      </c>
      <c r="BE13" s="495"/>
      <c r="BF13" s="478"/>
      <c r="BG13" s="478"/>
      <c r="BH13" s="478"/>
      <c r="BI13" s="478"/>
      <c r="BJ13" s="478"/>
      <c r="BK13" s="478"/>
      <c r="BL13" s="478"/>
      <c r="BM13" s="478"/>
      <c r="BN13" s="613"/>
    </row>
    <row r="14" ht="55.5" customHeight="1" s="416" customFormat="1">
      <c r="A14" s="418"/>
      <c r="B14" s="575"/>
      <c r="C14" s="575"/>
      <c r="D14" s="575"/>
      <c r="E14" s="418"/>
      <c r="F14" s="577"/>
      <c r="G14" s="577"/>
      <c r="H14" s="577"/>
      <c r="I14" s="574"/>
      <c r="J14" s="575"/>
      <c r="K14" s="575"/>
      <c r="L14" s="575"/>
      <c r="M14" s="574"/>
      <c r="N14" s="576"/>
      <c r="O14" s="576"/>
      <c r="P14" s="576"/>
      <c r="Q14" s="418"/>
      <c r="R14" s="601"/>
      <c r="S14" s="539" t="s">
        <v>191</v>
      </c>
      <c r="T14" s="537"/>
      <c r="U14" s="500" t="s">
        <v>192</v>
      </c>
      <c r="V14" s="60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07"/>
      <c r="X14" s="607"/>
      <c r="Y14" s="607"/>
      <c r="Z14" s="607"/>
      <c r="AA14" s="607"/>
      <c r="AB14" s="607"/>
      <c r="AC14" s="607"/>
      <c r="AD14" s="417"/>
      <c r="AE14" s="573"/>
      <c r="AF14" s="573"/>
      <c r="AG14" s="573"/>
      <c r="AH14" s="573"/>
      <c r="AI14" s="573"/>
      <c r="AJ14" s="573"/>
      <c r="AK14" s="573"/>
      <c r="AL14" s="573"/>
      <c r="AM14" s="573"/>
      <c r="AN14" s="573"/>
      <c r="AO14" s="573"/>
      <c r="AP14" s="573"/>
      <c r="AQ14" s="573"/>
      <c r="AR14" s="417"/>
      <c r="AS14" s="441" t="s">
        <v>191</v>
      </c>
      <c r="AT14" s="441"/>
      <c r="AU14" s="437" t="s">
        <v>192</v>
      </c>
      <c r="AV14" s="60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07"/>
      <c r="AX14" s="607"/>
      <c r="AY14" s="607"/>
      <c r="AZ14" s="607"/>
      <c r="BA14" s="607"/>
      <c r="BB14" s="607"/>
      <c r="BC14" s="417"/>
      <c r="BD14" s="495" t="s">
        <v>191</v>
      </c>
      <c r="BE14" s="495"/>
      <c r="BF14" s="500" t="s">
        <v>193</v>
      </c>
      <c r="BG14" s="60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07"/>
      <c r="BI14" s="607"/>
      <c r="BJ14" s="607"/>
      <c r="BK14" s="607"/>
      <c r="BL14" s="607"/>
      <c r="BM14" s="607"/>
      <c r="BN14" s="544"/>
    </row>
    <row r="15" ht="18.75" customHeight="1" s="416" customFormat="1">
      <c r="A15" s="418"/>
      <c r="B15" s="574"/>
      <c r="C15" s="574"/>
      <c r="D15" s="574"/>
      <c r="E15" s="574"/>
      <c r="F15" s="574"/>
      <c r="G15" s="574"/>
      <c r="H15" s="574"/>
      <c r="I15" s="574"/>
      <c r="J15" s="574"/>
      <c r="K15" s="574"/>
      <c r="L15" s="574"/>
      <c r="M15" s="574"/>
      <c r="N15" s="574"/>
      <c r="O15" s="574"/>
      <c r="P15" s="574"/>
      <c r="Q15" s="418"/>
      <c r="R15" s="601"/>
      <c r="S15" s="418"/>
      <c r="T15" s="418"/>
      <c r="U15" s="418"/>
      <c r="V15" s="418"/>
      <c r="W15" s="418"/>
      <c r="X15" s="418"/>
      <c r="Y15" s="418"/>
      <c r="Z15" s="418"/>
      <c r="AA15" s="418"/>
      <c r="AB15" s="418"/>
      <c r="AC15" s="418"/>
      <c r="AD15" s="417"/>
      <c r="AE15" s="573"/>
      <c r="AF15" s="573"/>
      <c r="AG15" s="573"/>
      <c r="AH15" s="573"/>
      <c r="AI15" s="573"/>
      <c r="AJ15" s="573"/>
      <c r="AK15" s="573"/>
      <c r="AL15" s="573"/>
      <c r="AM15" s="573"/>
      <c r="AN15" s="573"/>
      <c r="AO15" s="573"/>
      <c r="AP15" s="573"/>
      <c r="AQ15" s="573"/>
      <c r="AR15" s="417"/>
      <c r="AS15" s="418"/>
      <c r="AT15" s="418"/>
      <c r="AU15" s="418"/>
      <c r="AV15" s="418"/>
      <c r="AW15" s="418"/>
      <c r="AX15" s="418"/>
      <c r="AY15" s="418"/>
      <c r="AZ15" s="418"/>
      <c r="BA15" s="418"/>
      <c r="BB15" s="418"/>
      <c r="BC15" s="417"/>
      <c r="BD15" s="418"/>
      <c r="BE15" s="418"/>
      <c r="BF15" s="418"/>
      <c r="BG15" s="418"/>
      <c r="BH15" s="418"/>
      <c r="BI15" s="418"/>
      <c r="BJ15" s="418"/>
      <c r="BK15" s="418"/>
      <c r="BL15" s="418"/>
      <c r="BM15" s="418"/>
      <c r="BN15" s="418"/>
    </row>
    <row r="16" ht="39.75" customHeight="1" s="416" customFormat="1">
      <c r="A16" s="574"/>
      <c r="B16" s="574"/>
      <c r="C16" s="574"/>
      <c r="D16" s="574"/>
      <c r="E16" s="574"/>
      <c r="F16" s="574"/>
      <c r="G16" s="574"/>
      <c r="H16" s="574"/>
      <c r="I16" s="574"/>
      <c r="J16" s="574"/>
      <c r="K16" s="574"/>
      <c r="L16" s="574"/>
      <c r="M16" s="574"/>
      <c r="N16" s="574"/>
      <c r="O16" s="574"/>
      <c r="P16" s="574"/>
      <c r="Q16" s="574"/>
      <c r="R16" s="601"/>
      <c r="S16" s="418"/>
      <c r="T16" s="418"/>
      <c r="U16" s="418"/>
      <c r="V16" s="418"/>
      <c r="W16" s="418"/>
      <c r="X16" s="418"/>
      <c r="Y16" s="418"/>
      <c r="Z16" s="418"/>
      <c r="AA16" s="418"/>
      <c r="AB16" s="418"/>
      <c r="AC16" s="418"/>
      <c r="AD16" s="417"/>
      <c r="AE16" s="573"/>
      <c r="AF16" s="573"/>
      <c r="AG16" s="573"/>
      <c r="AH16" s="573"/>
      <c r="AI16" s="573"/>
      <c r="AJ16" s="573"/>
      <c r="AK16" s="573"/>
      <c r="AL16" s="573"/>
      <c r="AM16" s="573"/>
      <c r="AN16" s="573"/>
      <c r="AO16" s="573"/>
      <c r="AP16" s="573"/>
      <c r="AQ16" s="573"/>
      <c r="AR16" s="417"/>
      <c r="AS16" s="418"/>
      <c r="AT16" s="418"/>
      <c r="AU16" s="418"/>
      <c r="AV16" s="418"/>
      <c r="AW16" s="418"/>
      <c r="AX16" s="418"/>
      <c r="AY16" s="418"/>
      <c r="AZ16" s="418"/>
      <c r="BA16" s="418"/>
      <c r="BB16" s="418"/>
      <c r="BC16" s="417"/>
      <c r="BD16" s="418"/>
      <c r="BE16" s="418"/>
      <c r="BF16" s="418"/>
      <c r="BG16" s="418"/>
      <c r="BH16" s="418"/>
      <c r="BI16" s="418"/>
      <c r="BJ16" s="418"/>
      <c r="BK16" s="418"/>
      <c r="BL16" s="418"/>
      <c r="BM16" s="418"/>
      <c r="BN16" s="418"/>
    </row>
    <row r="17" ht="39.75" customHeight="1" s="416" customFormat="1">
      <c r="A17" s="574"/>
      <c r="B17" s="574"/>
      <c r="C17" s="574"/>
      <c r="D17" s="574"/>
      <c r="E17" s="574"/>
      <c r="F17" s="574"/>
      <c r="G17" s="574"/>
      <c r="H17" s="574"/>
      <c r="I17" s="574"/>
      <c r="J17" s="574"/>
      <c r="K17" s="574"/>
      <c r="L17" s="574"/>
      <c r="M17" s="574"/>
      <c r="N17" s="574"/>
      <c r="O17" s="574"/>
      <c r="P17" s="574"/>
      <c r="Q17" s="574"/>
      <c r="R17" s="601"/>
      <c r="S17" s="418"/>
      <c r="T17" s="418"/>
      <c r="U17" s="418"/>
      <c r="V17" s="418"/>
      <c r="W17" s="418"/>
      <c r="X17" s="418"/>
      <c r="Y17" s="418"/>
      <c r="Z17" s="418"/>
      <c r="AA17" s="418"/>
      <c r="AB17" s="418"/>
      <c r="AC17" s="418"/>
      <c r="AD17" s="417"/>
      <c r="AE17" s="418"/>
      <c r="AF17" s="418"/>
      <c r="AG17" s="418"/>
      <c r="AH17" s="418"/>
      <c r="AI17" s="418"/>
      <c r="AJ17" s="418"/>
      <c r="AK17" s="418"/>
      <c r="AL17" s="418"/>
      <c r="AM17" s="418"/>
      <c r="AN17" s="418"/>
      <c r="AO17" s="418"/>
      <c r="AP17" s="418"/>
      <c r="AQ17" s="418"/>
      <c r="AR17" s="417"/>
      <c r="AS17" s="418"/>
      <c r="AT17" s="418"/>
      <c r="AU17" s="418"/>
      <c r="AV17" s="418"/>
      <c r="AW17" s="418"/>
      <c r="AX17" s="418"/>
      <c r="AY17" s="418"/>
      <c r="AZ17" s="418"/>
      <c r="BA17" s="418"/>
      <c r="BB17" s="418"/>
      <c r="BC17" s="417"/>
      <c r="BD17" s="418"/>
      <c r="BE17" s="418"/>
      <c r="BF17" s="418"/>
      <c r="BG17" s="418"/>
      <c r="BH17" s="418"/>
      <c r="BI17" s="418"/>
      <c r="BJ17" s="418"/>
      <c r="BK17" s="418"/>
      <c r="BL17" s="418"/>
      <c r="BM17" s="418"/>
      <c r="BN17" s="418"/>
    </row>
    <row r="18" ht="39.75" customHeight="1" s="416" customFormat="1">
      <c r="A18" s="574"/>
      <c r="B18" s="574"/>
      <c r="C18" s="574"/>
      <c r="D18" s="574"/>
      <c r="E18" s="574"/>
      <c r="F18" s="574"/>
      <c r="G18" s="574"/>
      <c r="H18" s="574"/>
      <c r="I18" s="574"/>
      <c r="J18" s="574"/>
      <c r="K18" s="574"/>
      <c r="L18" s="574"/>
      <c r="M18" s="574"/>
      <c r="N18" s="574"/>
      <c r="O18" s="574"/>
      <c r="P18" s="574"/>
      <c r="Q18" s="574"/>
      <c r="R18" s="601"/>
      <c r="S18" s="418"/>
      <c r="T18" s="418"/>
      <c r="U18" s="418"/>
      <c r="V18" s="418"/>
      <c r="W18" s="418"/>
      <c r="X18" s="418"/>
      <c r="Y18" s="418"/>
      <c r="Z18" s="418"/>
      <c r="AA18" s="418"/>
      <c r="AB18" s="418"/>
      <c r="AC18" s="418"/>
      <c r="AD18" s="417"/>
      <c r="AE18" s="418"/>
      <c r="AF18" s="418"/>
      <c r="AG18" s="418"/>
      <c r="AH18" s="418"/>
      <c r="AI18" s="418"/>
      <c r="AJ18" s="418"/>
      <c r="AK18" s="418"/>
      <c r="AL18" s="418"/>
      <c r="AM18" s="418"/>
      <c r="AN18" s="418"/>
      <c r="AO18" s="418"/>
      <c r="AP18" s="418"/>
      <c r="AQ18" s="418"/>
      <c r="AR18" s="417"/>
      <c r="AS18" s="418"/>
      <c r="AT18" s="418"/>
      <c r="AU18" s="418"/>
      <c r="AV18" s="418"/>
      <c r="AW18" s="418"/>
      <c r="AX18" s="418"/>
      <c r="AY18" s="418"/>
      <c r="AZ18" s="418"/>
      <c r="BA18" s="418"/>
      <c r="BB18" s="418"/>
      <c r="BC18" s="417"/>
      <c r="BD18" s="418"/>
      <c r="BE18" s="418"/>
      <c r="BF18" s="418"/>
      <c r="BG18" s="418"/>
      <c r="BH18" s="418"/>
      <c r="BI18" s="418"/>
      <c r="BJ18" s="418"/>
      <c r="BK18" s="418"/>
      <c r="BL18" s="418"/>
      <c r="BM18" s="418"/>
      <c r="BN18" s="418"/>
    </row>
    <row r="19" ht="39.75" customHeight="1" s="416" customFormat="1">
      <c r="A19" s="574"/>
      <c r="B19" s="574"/>
      <c r="C19" s="574"/>
      <c r="D19" s="574"/>
      <c r="E19" s="574"/>
      <c r="F19" s="574"/>
      <c r="G19" s="574"/>
      <c r="H19" s="574"/>
      <c r="I19" s="574"/>
      <c r="J19" s="574"/>
      <c r="K19" s="574"/>
      <c r="L19" s="574"/>
      <c r="M19" s="574"/>
      <c r="N19" s="574"/>
      <c r="O19" s="574"/>
      <c r="P19" s="574"/>
      <c r="Q19" s="574"/>
      <c r="R19" s="601"/>
      <c r="S19" s="418"/>
      <c r="T19" s="418"/>
      <c r="U19" s="418"/>
      <c r="V19" s="418"/>
      <c r="W19" s="418"/>
      <c r="X19" s="418"/>
      <c r="Y19" s="418"/>
      <c r="Z19" s="418"/>
      <c r="AA19" s="418"/>
      <c r="AB19" s="418"/>
      <c r="AC19" s="418"/>
      <c r="AD19" s="417"/>
      <c r="AE19" s="418"/>
      <c r="AF19" s="418"/>
      <c r="AG19" s="418"/>
      <c r="AH19" s="418"/>
      <c r="AI19" s="418"/>
      <c r="AJ19" s="418"/>
      <c r="AK19" s="418"/>
      <c r="AL19" s="418"/>
      <c r="AM19" s="418"/>
      <c r="AN19" s="418"/>
      <c r="AO19" s="418"/>
      <c r="AP19" s="418"/>
      <c r="AQ19" s="418"/>
      <c r="AR19" s="417"/>
      <c r="AS19" s="418"/>
      <c r="AT19" s="418"/>
      <c r="AU19" s="418"/>
      <c r="AV19" s="418"/>
      <c r="AW19" s="418"/>
      <c r="AX19" s="418"/>
      <c r="AY19" s="418"/>
      <c r="AZ19" s="418"/>
      <c r="BA19" s="418"/>
      <c r="BB19" s="418"/>
      <c r="BC19" s="417"/>
      <c r="BD19" s="418"/>
      <c r="BE19" s="418"/>
      <c r="BF19" s="418"/>
      <c r="BG19" s="418"/>
      <c r="BH19" s="418"/>
      <c r="BI19" s="418"/>
      <c r="BJ19" s="418"/>
      <c r="BK19" s="418"/>
      <c r="BL19" s="418"/>
      <c r="BM19" s="418"/>
      <c r="BN19" s="418"/>
    </row>
    <row r="20" ht="39.75" customHeight="1" s="416" customFormat="1">
      <c r="A20" s="574"/>
      <c r="B20" s="574"/>
      <c r="C20" s="574"/>
      <c r="D20" s="574"/>
      <c r="E20" s="574"/>
      <c r="F20" s="574"/>
      <c r="G20" s="574"/>
      <c r="H20" s="574"/>
      <c r="I20" s="574"/>
      <c r="J20" s="574"/>
      <c r="K20" s="574"/>
      <c r="L20" s="574"/>
      <c r="M20" s="574"/>
      <c r="N20" s="574"/>
      <c r="O20" s="574"/>
      <c r="P20" s="574"/>
      <c r="Q20" s="574"/>
      <c r="R20" s="601"/>
      <c r="S20" s="418"/>
      <c r="T20" s="418"/>
      <c r="U20" s="418"/>
      <c r="V20" s="418"/>
      <c r="W20" s="418"/>
      <c r="X20" s="418"/>
      <c r="Y20" s="418"/>
      <c r="Z20" s="418"/>
      <c r="AA20" s="418"/>
      <c r="AB20" s="418"/>
      <c r="AC20" s="418"/>
      <c r="AD20" s="417"/>
      <c r="AE20" s="418"/>
      <c r="AF20" s="418"/>
      <c r="AG20" s="418"/>
      <c r="AH20" s="418"/>
      <c r="AI20" s="418"/>
      <c r="AJ20" s="418"/>
      <c r="AK20" s="418"/>
      <c r="AL20" s="418"/>
      <c r="AM20" s="418"/>
      <c r="AN20" s="418"/>
      <c r="AO20" s="418"/>
      <c r="AP20" s="418"/>
      <c r="AQ20" s="418"/>
      <c r="AR20" s="417"/>
      <c r="AS20" s="418"/>
      <c r="AT20" s="418"/>
      <c r="AU20" s="418"/>
      <c r="AV20" s="418"/>
      <c r="AW20" s="418"/>
      <c r="AX20" s="418"/>
      <c r="AY20" s="418"/>
      <c r="AZ20" s="418"/>
      <c r="BA20" s="418"/>
      <c r="BB20" s="418"/>
      <c r="BC20" s="417"/>
      <c r="BD20" s="418"/>
      <c r="BE20" s="418"/>
      <c r="BF20" s="418"/>
      <c r="BG20" s="418"/>
      <c r="BH20" s="418"/>
      <c r="BI20" s="418"/>
      <c r="BJ20" s="418"/>
      <c r="BK20" s="418"/>
      <c r="BL20" s="418"/>
      <c r="BM20" s="418"/>
      <c r="BN20" s="418"/>
    </row>
    <row r="21" ht="39.75" customHeight="1" s="416" customFormat="1">
      <c r="A21" s="590" t="s">
        <v>194</v>
      </c>
      <c r="B21" s="590"/>
      <c r="C21" s="590"/>
      <c r="D21" s="590"/>
      <c r="E21" s="590"/>
      <c r="F21" s="590"/>
      <c r="G21" s="590"/>
      <c r="H21" s="590"/>
      <c r="I21" s="590"/>
      <c r="J21" s="590"/>
      <c r="K21" s="590"/>
      <c r="L21" s="590"/>
      <c r="M21" s="590"/>
      <c r="N21" s="590"/>
      <c r="O21" s="590"/>
      <c r="P21" s="590"/>
      <c r="Q21" s="590"/>
      <c r="R21" s="601"/>
      <c r="S21" s="597" t="s">
        <v>195</v>
      </c>
      <c r="T21" s="598"/>
      <c r="U21" s="418"/>
      <c r="V21" s="418"/>
      <c r="W21" s="418"/>
      <c r="X21" s="418"/>
      <c r="Y21" s="418"/>
      <c r="Z21" s="418"/>
      <c r="AA21" s="418"/>
      <c r="AB21" s="418"/>
      <c r="AC21" s="418"/>
      <c r="AD21" s="417"/>
      <c r="AE21" s="418"/>
      <c r="AF21" s="418"/>
      <c r="AG21" s="418"/>
      <c r="AH21" s="418"/>
      <c r="AI21" s="418"/>
      <c r="AJ21" s="418"/>
      <c r="AK21" s="418"/>
      <c r="AL21" s="418"/>
      <c r="AM21" s="418"/>
      <c r="AN21" s="418"/>
      <c r="AO21" s="418"/>
      <c r="AP21" s="418"/>
      <c r="AQ21" s="418"/>
      <c r="AR21" s="417"/>
      <c r="AS21" s="419" t="s">
        <v>196</v>
      </c>
      <c r="AT21" s="419"/>
      <c r="AU21" s="482"/>
      <c r="AW21" s="488"/>
      <c r="BC21" s="417"/>
      <c r="BD21" s="419" t="s">
        <v>197</v>
      </c>
      <c r="BE21" s="419"/>
      <c r="BF21" s="482"/>
      <c r="BH21" s="488"/>
      <c r="BN21" s="418"/>
    </row>
    <row r="22" ht="39.75" customHeight="1" s="416" customFormat="1">
      <c r="A22" s="590"/>
      <c r="B22" s="590"/>
      <c r="C22" s="590"/>
      <c r="D22" s="590"/>
      <c r="E22" s="590"/>
      <c r="F22" s="590"/>
      <c r="G22" s="590"/>
      <c r="H22" s="590"/>
      <c r="I22" s="590"/>
      <c r="J22" s="590"/>
      <c r="K22" s="590"/>
      <c r="L22" s="590"/>
      <c r="M22" s="590"/>
      <c r="N22" s="590"/>
      <c r="O22" s="590"/>
      <c r="P22" s="590"/>
      <c r="Q22" s="590"/>
      <c r="R22" s="601"/>
      <c r="S22" s="445" t="s">
        <v>163</v>
      </c>
      <c r="T22" s="446">
        <f>Royal2!G85</f>
        <v>501646.52714556217</v>
      </c>
      <c r="U22" s="418"/>
      <c r="V22" s="418"/>
      <c r="W22" s="418"/>
      <c r="X22" s="418"/>
      <c r="Y22" s="418"/>
      <c r="Z22" s="418"/>
      <c r="AA22" s="418"/>
      <c r="AB22" s="418"/>
      <c r="AC22" s="418"/>
      <c r="AD22" s="417"/>
      <c r="AE22" s="595" t="s">
        <v>163</v>
      </c>
      <c r="AF22" s="595"/>
      <c r="AG22" s="596">
        <f>'شماسي و كانتليفر'!AE12</f>
        <v>26693.55</v>
      </c>
      <c r="AH22" s="596"/>
      <c r="AI22" s="418"/>
      <c r="AJ22" s="418"/>
      <c r="AK22" s="418"/>
      <c r="AL22" s="418"/>
      <c r="AM22" s="418"/>
      <c r="AN22" s="418"/>
      <c r="AO22" s="418"/>
      <c r="AP22" s="418"/>
      <c r="AQ22" s="418"/>
      <c r="AR22" s="417"/>
      <c r="AS22" s="475" t="s">
        <v>163</v>
      </c>
      <c r="AT22" s="476">
        <f>'بيرسا و لوفرز'!R69</f>
        <v>302627.25</v>
      </c>
      <c r="AU22" s="483"/>
      <c r="BC22" s="417"/>
      <c r="BD22" s="475" t="s">
        <v>163</v>
      </c>
      <c r="BE22" s="476">
        <f>'بيرسا و لوفرز'!R140</f>
        <v>337226.25</v>
      </c>
      <c r="BF22" s="483"/>
      <c r="BN22" s="418"/>
    </row>
    <row r="23" ht="39.75" customHeight="1" s="416" customFormat="1">
      <c r="A23" s="590"/>
      <c r="B23" s="590"/>
      <c r="C23" s="590"/>
      <c r="D23" s="590"/>
      <c r="E23" s="590"/>
      <c r="F23" s="590"/>
      <c r="G23" s="590"/>
      <c r="H23" s="590"/>
      <c r="I23" s="590"/>
      <c r="J23" s="590"/>
      <c r="K23" s="590"/>
      <c r="L23" s="590"/>
      <c r="M23" s="590"/>
      <c r="N23" s="590"/>
      <c r="O23" s="590"/>
      <c r="P23" s="590"/>
      <c r="Q23" s="590"/>
      <c r="R23" s="601"/>
      <c r="S23" s="447" t="s">
        <v>127</v>
      </c>
      <c r="T23" s="446">
        <f>T22/(AA33*X31)*10000</f>
        <v>5225.4846577662729</v>
      </c>
      <c r="U23" s="418"/>
      <c r="V23" s="418"/>
      <c r="W23" s="418"/>
      <c r="X23" s="418"/>
      <c r="Y23" s="418"/>
      <c r="Z23" s="418"/>
      <c r="AA23" s="418"/>
      <c r="AB23" s="418"/>
      <c r="AC23" s="418"/>
      <c r="AD23" s="417"/>
      <c r="AE23" s="595"/>
      <c r="AF23" s="595"/>
      <c r="AG23" s="596"/>
      <c r="AH23" s="596"/>
      <c r="AI23" s="425"/>
      <c r="AJ23" s="425"/>
      <c r="AK23" s="418"/>
      <c r="AL23" s="418"/>
      <c r="AM23" s="418"/>
      <c r="AN23" s="418"/>
      <c r="AO23" s="418"/>
      <c r="AP23" s="418"/>
      <c r="AQ23" s="418"/>
      <c r="AR23" s="417"/>
      <c r="AS23" s="475" t="s">
        <v>127</v>
      </c>
      <c r="AT23" s="477">
        <f>AT22/(AT33*AT34/10000)</f>
        <v>15131.3625</v>
      </c>
      <c r="AU23" s="483"/>
      <c r="AV23" s="484"/>
      <c r="BC23" s="417"/>
      <c r="BD23" s="475" t="s">
        <v>127</v>
      </c>
      <c r="BE23" s="477">
        <f>BE22/(BE33*BE34/10000)</f>
        <v>16861.3125</v>
      </c>
      <c r="BF23" s="483"/>
      <c r="BG23" s="484"/>
      <c r="BN23" s="418"/>
    </row>
    <row r="24" ht="39.75" customHeight="1" s="416" customFormat="1">
      <c r="A24" s="590"/>
      <c r="B24" s="590"/>
      <c r="C24" s="590"/>
      <c r="D24" s="590"/>
      <c r="E24" s="590"/>
      <c r="F24" s="590"/>
      <c r="G24" s="590"/>
      <c r="H24" s="590"/>
      <c r="I24" s="590"/>
      <c r="J24" s="590"/>
      <c r="K24" s="590"/>
      <c r="L24" s="590"/>
      <c r="M24" s="590"/>
      <c r="N24" s="590"/>
      <c r="O24" s="590"/>
      <c r="P24" s="590"/>
      <c r="Q24" s="590"/>
      <c r="R24" s="601"/>
      <c r="S24" s="443" t="s">
        <v>164</v>
      </c>
      <c r="T24" s="444" t="s">
        <v>21</v>
      </c>
      <c r="U24" s="428"/>
      <c r="V24" s="428"/>
      <c r="W24" s="428"/>
      <c r="X24" s="428"/>
      <c r="Y24" s="428"/>
      <c r="Z24" s="428"/>
      <c r="AA24" s="428"/>
      <c r="AB24" s="428"/>
      <c r="AC24" s="428"/>
      <c r="AD24" s="417"/>
      <c r="AE24" s="464"/>
      <c r="AF24" s="465"/>
      <c r="AG24" s="465"/>
      <c r="AH24" s="425"/>
      <c r="AI24" s="425"/>
      <c r="AJ24" s="425"/>
      <c r="AK24" s="418"/>
      <c r="AL24" s="418"/>
      <c r="AM24" s="418"/>
      <c r="AN24" s="418"/>
      <c r="AO24" s="418"/>
      <c r="AP24" s="418"/>
      <c r="AQ24" s="418"/>
      <c r="AR24" s="417"/>
      <c r="AS24" s="429" t="s">
        <v>164</v>
      </c>
      <c r="AT24" s="427" t="s">
        <v>16</v>
      </c>
      <c r="BC24" s="417"/>
      <c r="BD24" s="429" t="s">
        <v>164</v>
      </c>
      <c r="BE24" s="427" t="s">
        <v>16</v>
      </c>
      <c r="BN24" s="418"/>
    </row>
    <row r="25" ht="39.75" customHeight="1">
      <c r="A25" s="590"/>
      <c r="B25" s="590"/>
      <c r="C25" s="590"/>
      <c r="D25" s="590"/>
      <c r="E25" s="590"/>
      <c r="F25" s="590"/>
      <c r="G25" s="590"/>
      <c r="H25" s="590"/>
      <c r="I25" s="590"/>
      <c r="J25" s="590"/>
      <c r="K25" s="590"/>
      <c r="L25" s="590"/>
      <c r="M25" s="590"/>
      <c r="N25" s="590"/>
      <c r="O25" s="590"/>
      <c r="P25" s="590"/>
      <c r="Q25" s="590"/>
      <c r="R25" s="601"/>
      <c r="S25" s="448" t="s">
        <v>165</v>
      </c>
      <c r="T25" s="449" t="s">
        <v>167</v>
      </c>
      <c r="U25" s="428"/>
      <c r="V25" s="428"/>
      <c r="W25" s="428"/>
      <c r="X25" s="428"/>
      <c r="Y25" s="428"/>
      <c r="Z25" s="428"/>
      <c r="AA25" s="428"/>
      <c r="AB25" s="428"/>
      <c r="AC25" s="428"/>
      <c r="AD25" s="417"/>
      <c r="AE25" s="464"/>
      <c r="AF25" s="465"/>
      <c r="AG25" s="465"/>
      <c r="AH25" s="418"/>
      <c r="AI25" s="418"/>
      <c r="AJ25" s="418"/>
      <c r="AK25" s="418"/>
      <c r="AL25" s="418"/>
      <c r="AM25" s="418"/>
      <c r="AN25" s="418"/>
      <c r="AO25" s="418"/>
      <c r="AP25" s="418"/>
      <c r="AQ25" s="418"/>
      <c r="AR25" s="417"/>
      <c r="AS25" s="429" t="s">
        <v>165</v>
      </c>
      <c r="AT25" s="430" t="s">
        <v>166</v>
      </c>
      <c r="AW25" s="496">
        <f>AT34</f>
        <v>500</v>
      </c>
      <c r="BD25" s="429" t="s">
        <v>165</v>
      </c>
      <c r="BE25" s="430" t="s">
        <v>167</v>
      </c>
      <c r="BH25" s="496">
        <f>BE34</f>
        <v>500</v>
      </c>
      <c r="BN25" s="418"/>
    </row>
    <row r="26" ht="39.75" customHeight="1">
      <c r="A26" s="590"/>
      <c r="B26" s="590"/>
      <c r="C26" s="590"/>
      <c r="D26" s="590"/>
      <c r="E26" s="590"/>
      <c r="F26" s="590"/>
      <c r="G26" s="590"/>
      <c r="H26" s="590"/>
      <c r="I26" s="590"/>
      <c r="J26" s="590"/>
      <c r="K26" s="590"/>
      <c r="L26" s="590"/>
      <c r="M26" s="590"/>
      <c r="N26" s="590"/>
      <c r="O26" s="590"/>
      <c r="P26" s="590"/>
      <c r="Q26" s="590"/>
      <c r="R26" s="601"/>
      <c r="S26" s="443" t="s">
        <v>168</v>
      </c>
      <c r="T26" s="450" t="s">
        <v>169</v>
      </c>
      <c r="U26" s="428"/>
      <c r="V26" s="428"/>
      <c r="W26" s="428"/>
      <c r="X26" s="428"/>
      <c r="Y26" s="428"/>
      <c r="Z26" s="428"/>
      <c r="AA26" s="428"/>
      <c r="AB26" s="428"/>
      <c r="AC26" s="428"/>
      <c r="AD26" s="417"/>
      <c r="AE26" s="418"/>
      <c r="AF26" s="418"/>
      <c r="AG26" s="582" t="s">
        <v>170</v>
      </c>
      <c r="AH26" s="603" t="s">
        <v>198</v>
      </c>
      <c r="AI26" s="582" t="s">
        <v>173</v>
      </c>
      <c r="AJ26" s="582" t="s">
        <v>174</v>
      </c>
      <c r="AK26" s="582" t="s">
        <v>175</v>
      </c>
      <c r="AL26" s="593" t="s">
        <v>176</v>
      </c>
      <c r="AM26" s="593"/>
      <c r="AN26" s="418"/>
      <c r="AO26" s="418"/>
      <c r="AP26" s="418"/>
      <c r="AQ26" s="418"/>
      <c r="AR26" s="417"/>
      <c r="AS26" s="431" t="s">
        <v>168</v>
      </c>
      <c r="AT26" s="432" t="s">
        <v>177</v>
      </c>
      <c r="BD26" s="431" t="s">
        <v>168</v>
      </c>
      <c r="BE26" s="432" t="s">
        <v>177</v>
      </c>
      <c r="BN26" s="418"/>
    </row>
    <row r="27" ht="39.75" customHeight="1">
      <c r="A27" s="590"/>
      <c r="B27" s="590"/>
      <c r="C27" s="590"/>
      <c r="D27" s="590"/>
      <c r="E27" s="590"/>
      <c r="F27" s="590"/>
      <c r="G27" s="590"/>
      <c r="H27" s="590"/>
      <c r="I27" s="590"/>
      <c r="J27" s="590"/>
      <c r="K27" s="590"/>
      <c r="L27" s="590"/>
      <c r="M27" s="590"/>
      <c r="N27" s="590"/>
      <c r="O27" s="590"/>
      <c r="P27" s="590"/>
      <c r="Q27" s="590"/>
      <c r="R27" s="601"/>
      <c r="S27" s="451"/>
      <c r="T27" s="452"/>
      <c r="U27" s="428"/>
      <c r="V27" s="428"/>
      <c r="W27" s="428"/>
      <c r="X27" s="428"/>
      <c r="Y27" s="428"/>
      <c r="Z27" s="428"/>
      <c r="AA27" s="428"/>
      <c r="AB27" s="428"/>
      <c r="AC27" s="428"/>
      <c r="AD27" s="417"/>
      <c r="AE27" s="418"/>
      <c r="AF27" s="418"/>
      <c r="AG27" s="583"/>
      <c r="AH27" s="604"/>
      <c r="AI27" s="583"/>
      <c r="AJ27" s="583"/>
      <c r="AK27" s="583"/>
      <c r="AL27" s="594"/>
      <c r="AM27" s="594"/>
      <c r="AN27" s="418"/>
      <c r="AO27" s="418"/>
      <c r="AP27" s="418"/>
      <c r="AQ27" s="418"/>
      <c r="AR27" s="417"/>
      <c r="AS27" s="433"/>
      <c r="AT27" s="434"/>
      <c r="AU27" s="485"/>
      <c r="AV27" s="485"/>
      <c r="AW27" s="485"/>
      <c r="AX27" s="497"/>
      <c r="AY27" s="497"/>
      <c r="BD27" s="433"/>
      <c r="BE27" s="434"/>
      <c r="BF27" s="485"/>
      <c r="BG27" s="485"/>
      <c r="BH27" s="485"/>
      <c r="BI27" s="497"/>
      <c r="BJ27" s="497"/>
      <c r="BN27" s="418"/>
    </row>
    <row r="28" ht="39.75" customHeight="1">
      <c r="A28" s="590"/>
      <c r="B28" s="590"/>
      <c r="C28" s="590"/>
      <c r="D28" s="590"/>
      <c r="E28" s="590"/>
      <c r="F28" s="590"/>
      <c r="G28" s="590"/>
      <c r="H28" s="590"/>
      <c r="I28" s="590"/>
      <c r="J28" s="590"/>
      <c r="K28" s="590"/>
      <c r="L28" s="590"/>
      <c r="M28" s="590"/>
      <c r="N28" s="590"/>
      <c r="O28" s="590"/>
      <c r="P28" s="590"/>
      <c r="Q28" s="590"/>
      <c r="R28" s="601"/>
      <c r="S28" s="451"/>
      <c r="T28" s="451"/>
      <c r="U28" s="416"/>
      <c r="V28" s="416"/>
      <c r="W28" s="416"/>
      <c r="X28" s="416"/>
      <c r="Y28" s="416"/>
      <c r="Z28" s="416"/>
      <c r="AA28" s="416"/>
      <c r="AB28" s="416"/>
      <c r="AC28" s="416"/>
      <c r="AD28" s="417"/>
      <c r="AE28" s="418"/>
      <c r="AF28" s="418"/>
      <c r="AG28" s="580" t="s">
        <v>179</v>
      </c>
      <c r="AH28" s="580" t="s">
        <v>199</v>
      </c>
      <c r="AI28" s="580" t="s">
        <v>169</v>
      </c>
      <c r="AJ28" s="580" t="s">
        <v>200</v>
      </c>
      <c r="AK28" s="580" t="s">
        <v>201</v>
      </c>
      <c r="AL28" s="591"/>
      <c r="AM28" s="591"/>
      <c r="AN28" s="418"/>
      <c r="AO28" s="418"/>
      <c r="AP28" s="418"/>
      <c r="AQ28" s="418"/>
      <c r="AR28" s="417"/>
      <c r="AS28" s="442"/>
      <c r="AT28" s="442"/>
      <c r="BD28" s="442"/>
      <c r="BE28" s="442"/>
      <c r="BN28" s="418"/>
    </row>
    <row r="29" ht="39.75" customHeight="1">
      <c r="A29" s="590"/>
      <c r="B29" s="590"/>
      <c r="C29" s="590"/>
      <c r="D29" s="590"/>
      <c r="E29" s="590"/>
      <c r="F29" s="590"/>
      <c r="G29" s="590"/>
      <c r="H29" s="590"/>
      <c r="I29" s="590"/>
      <c r="J29" s="590"/>
      <c r="K29" s="590"/>
      <c r="L29" s="590"/>
      <c r="M29" s="590"/>
      <c r="N29" s="590"/>
      <c r="O29" s="590"/>
      <c r="P29" s="590"/>
      <c r="Q29" s="590"/>
      <c r="R29" s="601"/>
      <c r="S29" s="451"/>
      <c r="T29" s="452"/>
      <c r="U29" s="416"/>
      <c r="V29" s="416"/>
      <c r="W29" s="416"/>
      <c r="X29" s="416"/>
      <c r="Y29" s="416"/>
      <c r="Z29" s="416"/>
      <c r="AA29" s="416"/>
      <c r="AB29" s="416"/>
      <c r="AC29" s="416"/>
      <c r="AD29" s="417"/>
      <c r="AE29" s="418"/>
      <c r="AF29" s="418"/>
      <c r="AG29" s="581"/>
      <c r="AH29" s="581"/>
      <c r="AI29" s="581"/>
      <c r="AJ29" s="581"/>
      <c r="AK29" s="581"/>
      <c r="AL29" s="592"/>
      <c r="AM29" s="592"/>
      <c r="AN29" s="418"/>
      <c r="AO29" s="418"/>
      <c r="AP29" s="418"/>
      <c r="AQ29" s="418"/>
      <c r="AR29" s="417"/>
      <c r="AS29" s="426" t="s">
        <v>183</v>
      </c>
      <c r="AT29" s="486" t="s">
        <v>184</v>
      </c>
      <c r="BD29" s="426" t="s">
        <v>183</v>
      </c>
      <c r="BE29" s="486" t="s">
        <v>184</v>
      </c>
      <c r="BN29" s="418"/>
    </row>
    <row r="30" ht="39.75" customHeight="1">
      <c r="A30" s="590"/>
      <c r="B30" s="590"/>
      <c r="C30" s="590"/>
      <c r="D30" s="590"/>
      <c r="E30" s="590"/>
      <c r="F30" s="590"/>
      <c r="G30" s="590"/>
      <c r="H30" s="590"/>
      <c r="I30" s="590"/>
      <c r="J30" s="590"/>
      <c r="K30" s="590"/>
      <c r="L30" s="590"/>
      <c r="M30" s="590"/>
      <c r="N30" s="590"/>
      <c r="O30" s="590"/>
      <c r="P30" s="590"/>
      <c r="Q30" s="590"/>
      <c r="R30" s="601"/>
      <c r="S30" s="443" t="s">
        <v>202</v>
      </c>
      <c r="T30" s="453"/>
      <c r="U30" s="416"/>
      <c r="V30" s="416"/>
      <c r="W30" s="416"/>
      <c r="X30" s="416"/>
      <c r="Y30" s="416"/>
      <c r="Z30" s="416"/>
      <c r="AA30" s="416"/>
      <c r="AB30" s="416"/>
      <c r="AC30" s="416"/>
      <c r="AD30" s="417"/>
      <c r="AE30" s="418"/>
      <c r="AF30" s="418"/>
      <c r="AG30" s="418"/>
      <c r="AH30" s="418"/>
      <c r="AI30" s="468"/>
      <c r="AJ30" s="468"/>
      <c r="AK30" s="418"/>
      <c r="AL30" s="418"/>
      <c r="AM30" s="418"/>
      <c r="AN30" s="418"/>
      <c r="AO30" s="418"/>
      <c r="AP30" s="418"/>
      <c r="AQ30" s="418"/>
      <c r="AR30" s="417"/>
      <c r="AS30" s="426" t="s">
        <v>185</v>
      </c>
      <c r="AT30" s="486" t="s">
        <v>186</v>
      </c>
      <c r="AV30" s="487"/>
      <c r="AW30" s="488"/>
      <c r="AX30" s="488"/>
      <c r="AY30" s="488"/>
      <c r="AZ30" s="488"/>
      <c r="BD30" s="426" t="s">
        <v>185</v>
      </c>
      <c r="BE30" s="486" t="s">
        <v>186</v>
      </c>
      <c r="BG30" s="487"/>
      <c r="BH30" s="488"/>
      <c r="BI30" s="488"/>
      <c r="BJ30" s="488"/>
      <c r="BK30" s="488"/>
      <c r="BN30" s="418"/>
    </row>
    <row r="31" ht="39.75" customHeight="1">
      <c r="A31" s="590"/>
      <c r="B31" s="590"/>
      <c r="C31" s="590"/>
      <c r="D31" s="590"/>
      <c r="E31" s="590"/>
      <c r="F31" s="590"/>
      <c r="G31" s="590"/>
      <c r="H31" s="590"/>
      <c r="I31" s="590"/>
      <c r="J31" s="590"/>
      <c r="K31" s="590"/>
      <c r="L31" s="590"/>
      <c r="M31" s="590"/>
      <c r="N31" s="590"/>
      <c r="O31" s="590"/>
      <c r="P31" s="590"/>
      <c r="Q31" s="590"/>
      <c r="R31" s="601"/>
      <c r="S31" s="443" t="s">
        <v>203</v>
      </c>
      <c r="T31" s="453"/>
      <c r="U31" s="454" t="s">
        <v>186</v>
      </c>
      <c r="V31" s="416"/>
      <c r="W31" s="416"/>
      <c r="X31" s="455">
        <v>800</v>
      </c>
      <c r="Y31" s="416"/>
      <c r="Z31" s="416"/>
      <c r="AA31" s="416"/>
      <c r="AB31" s="416"/>
      <c r="AC31" s="416"/>
      <c r="AD31" s="417"/>
      <c r="AE31" s="578" t="s">
        <v>204</v>
      </c>
      <c r="AF31" s="578"/>
      <c r="AG31" s="578"/>
      <c r="AH31" s="578"/>
      <c r="AI31" s="578"/>
      <c r="AJ31" s="578"/>
      <c r="AK31" s="578"/>
      <c r="AL31" s="578"/>
      <c r="AM31" s="578"/>
      <c r="AN31" s="578"/>
      <c r="AO31" s="578"/>
      <c r="AP31" s="578"/>
      <c r="AQ31" s="418"/>
      <c r="AR31" s="417"/>
      <c r="AS31" s="439"/>
      <c r="AT31" s="440"/>
      <c r="AV31" s="488"/>
      <c r="AW31" s="488"/>
      <c r="AX31" s="488"/>
      <c r="AY31" s="488"/>
      <c r="AZ31" s="488"/>
      <c r="BA31" s="488"/>
      <c r="BD31" s="439"/>
      <c r="BE31" s="440"/>
      <c r="BG31" s="488"/>
      <c r="BH31" s="488"/>
      <c r="BI31" s="488"/>
      <c r="BJ31" s="488"/>
      <c r="BK31" s="488"/>
      <c r="BL31" s="488"/>
      <c r="BN31" s="418"/>
    </row>
    <row r="32" ht="39.75" customHeight="1">
      <c r="A32" s="590"/>
      <c r="B32" s="590"/>
      <c r="C32" s="590"/>
      <c r="D32" s="590"/>
      <c r="E32" s="590"/>
      <c r="F32" s="590"/>
      <c r="G32" s="590"/>
      <c r="H32" s="590"/>
      <c r="I32" s="590"/>
      <c r="J32" s="590"/>
      <c r="K32" s="590"/>
      <c r="L32" s="590"/>
      <c r="M32" s="590"/>
      <c r="N32" s="590"/>
      <c r="O32" s="590"/>
      <c r="P32" s="590"/>
      <c r="Q32" s="590"/>
      <c r="R32" s="601"/>
      <c r="S32" s="443" t="s">
        <v>188</v>
      </c>
      <c r="T32" s="456" t="s">
        <v>193</v>
      </c>
      <c r="U32" s="457"/>
      <c r="V32" s="457"/>
      <c r="W32" s="457"/>
      <c r="X32" s="457"/>
      <c r="Y32" s="457"/>
      <c r="Z32" s="457"/>
      <c r="AA32" s="457"/>
      <c r="AB32" s="457"/>
      <c r="AC32" s="457"/>
      <c r="AD32" s="417"/>
      <c r="AE32" s="418"/>
      <c r="AF32" s="466"/>
      <c r="AG32" s="466"/>
      <c r="AH32" s="466"/>
      <c r="AI32" s="466"/>
      <c r="AJ32" s="466"/>
      <c r="AK32" s="466"/>
      <c r="AL32" s="466"/>
      <c r="AM32" s="466"/>
      <c r="AN32" s="466"/>
      <c r="AO32" s="466"/>
      <c r="AP32" s="466"/>
      <c r="AQ32" s="418"/>
      <c r="AR32" s="417"/>
      <c r="AS32" s="441" t="s">
        <v>188</v>
      </c>
      <c r="AT32" s="437" t="s">
        <v>193</v>
      </c>
      <c r="BA32" s="487"/>
      <c r="BD32" s="441" t="s">
        <v>188</v>
      </c>
      <c r="BE32" s="437" t="s">
        <v>193</v>
      </c>
      <c r="BL32" s="487"/>
      <c r="BN32" s="418"/>
    </row>
    <row r="33" ht="39.75" customHeight="1">
      <c r="A33" s="590"/>
      <c r="B33" s="590"/>
      <c r="C33" s="590"/>
      <c r="D33" s="590"/>
      <c r="E33" s="590"/>
      <c r="F33" s="590"/>
      <c r="G33" s="590"/>
      <c r="H33" s="590"/>
      <c r="I33" s="590"/>
      <c r="J33" s="590"/>
      <c r="K33" s="590"/>
      <c r="L33" s="590"/>
      <c r="M33" s="590"/>
      <c r="N33" s="590"/>
      <c r="O33" s="590"/>
      <c r="P33" s="590"/>
      <c r="Q33" s="590"/>
      <c r="R33" s="601"/>
      <c r="S33" s="443" t="s">
        <v>189</v>
      </c>
      <c r="T33" s="458"/>
      <c r="U33" s="457"/>
      <c r="V33" s="579"/>
      <c r="W33" s="579"/>
      <c r="X33" s="459"/>
      <c r="Y33" s="457"/>
      <c r="Z33" s="457"/>
      <c r="AA33" s="456">
        <v>1200</v>
      </c>
      <c r="AB33" s="457"/>
      <c r="AC33" s="457"/>
      <c r="AD33" s="417"/>
      <c r="AE33" s="576"/>
      <c r="AF33" s="576"/>
      <c r="AG33" s="576"/>
      <c r="AH33" s="576"/>
      <c r="AI33" s="576"/>
      <c r="AJ33" s="576"/>
      <c r="AK33" s="576"/>
      <c r="AL33" s="576"/>
      <c r="AM33" s="576"/>
      <c r="AN33" s="576"/>
      <c r="AO33" s="576"/>
      <c r="AP33" s="576"/>
      <c r="AQ33" s="576"/>
      <c r="AR33" s="417"/>
      <c r="AS33" s="441" t="s">
        <v>189</v>
      </c>
      <c r="AT33" s="441">
        <v>400</v>
      </c>
      <c r="BA33" s="0" t="s">
        <v>190</v>
      </c>
      <c r="BD33" s="441" t="s">
        <v>189</v>
      </c>
      <c r="BE33" s="441">
        <v>400</v>
      </c>
      <c r="BL33" s="0" t="s">
        <v>190</v>
      </c>
      <c r="BN33" s="418"/>
    </row>
    <row r="34" ht="40.5" customHeight="1">
      <c r="A34" s="590"/>
      <c r="B34" s="590"/>
      <c r="C34" s="590"/>
      <c r="D34" s="590"/>
      <c r="E34" s="590"/>
      <c r="F34" s="590"/>
      <c r="G34" s="590"/>
      <c r="H34" s="590"/>
      <c r="I34" s="590"/>
      <c r="J34" s="590"/>
      <c r="K34" s="590"/>
      <c r="L34" s="590"/>
      <c r="M34" s="590"/>
      <c r="N34" s="590"/>
      <c r="O34" s="590"/>
      <c r="P34" s="590"/>
      <c r="Q34" s="590"/>
      <c r="R34" s="601"/>
      <c r="S34" s="443" t="s">
        <v>191</v>
      </c>
      <c r="T34" s="458"/>
      <c r="U34" s="457"/>
      <c r="V34" s="457"/>
      <c r="W34" s="457"/>
      <c r="X34" s="459"/>
      <c r="Y34" s="457"/>
      <c r="Z34" s="457"/>
      <c r="AA34" s="457"/>
      <c r="AB34" s="457"/>
      <c r="AC34" s="457"/>
      <c r="AD34" s="417"/>
      <c r="AE34" s="576"/>
      <c r="AF34" s="576"/>
      <c r="AG34" s="576"/>
      <c r="AH34" s="576"/>
      <c r="AI34" s="576"/>
      <c r="AJ34" s="576"/>
      <c r="AK34" s="576"/>
      <c r="AL34" s="576"/>
      <c r="AM34" s="576"/>
      <c r="AN34" s="576"/>
      <c r="AO34" s="576"/>
      <c r="AP34" s="576"/>
      <c r="AQ34" s="576"/>
      <c r="AR34" s="417"/>
      <c r="AS34" s="441" t="s">
        <v>191</v>
      </c>
      <c r="AT34" s="441">
        <v>500</v>
      </c>
      <c r="AU34" s="489"/>
      <c r="AZ34" s="605"/>
      <c r="BA34" s="605"/>
      <c r="BB34" s="605"/>
      <c r="BD34" s="441" t="s">
        <v>191</v>
      </c>
      <c r="BE34" s="441">
        <v>500</v>
      </c>
      <c r="BF34" s="489"/>
      <c r="BK34" s="605"/>
      <c r="BL34" s="605"/>
      <c r="BM34" s="605"/>
      <c r="BN34" s="418"/>
    </row>
    <row r="35" ht="41.25" customHeight="1">
      <c r="A35" s="590"/>
      <c r="B35" s="590"/>
      <c r="C35" s="590"/>
      <c r="D35" s="590"/>
      <c r="E35" s="590"/>
      <c r="F35" s="590"/>
      <c r="G35" s="590"/>
      <c r="H35" s="590"/>
      <c r="I35" s="590"/>
      <c r="J35" s="590"/>
      <c r="K35" s="590"/>
      <c r="L35" s="590"/>
      <c r="M35" s="590"/>
      <c r="N35" s="590"/>
      <c r="O35" s="590"/>
      <c r="P35" s="590"/>
      <c r="Q35" s="590"/>
      <c r="R35" s="601"/>
      <c r="S35" s="418"/>
      <c r="T35" s="418"/>
      <c r="U35" s="457"/>
      <c r="V35" s="460"/>
      <c r="W35" s="460"/>
      <c r="X35" s="460"/>
      <c r="Y35" s="457"/>
      <c r="Z35" s="457"/>
      <c r="AA35" s="457"/>
      <c r="AB35" s="457"/>
      <c r="AC35" s="457"/>
      <c r="AD35" s="417"/>
      <c r="AE35" s="576"/>
      <c r="AF35" s="576"/>
      <c r="AG35" s="576"/>
      <c r="AH35" s="576"/>
      <c r="AI35" s="576"/>
      <c r="AJ35" s="576"/>
      <c r="AK35" s="576"/>
      <c r="AL35" s="576"/>
      <c r="AM35" s="576"/>
      <c r="AN35" s="576"/>
      <c r="AO35" s="576"/>
      <c r="AP35" s="576"/>
      <c r="AQ35" s="576"/>
      <c r="AR35" s="417"/>
      <c r="AS35" s="418"/>
      <c r="AT35" s="418"/>
      <c r="BD35" s="418"/>
      <c r="BE35" s="418"/>
      <c r="BN35" s="418"/>
    </row>
    <row r="36" ht="41.25" customHeight="1">
      <c r="A36" s="590"/>
      <c r="B36" s="590"/>
      <c r="C36" s="590"/>
      <c r="D36" s="590"/>
      <c r="E36" s="590"/>
      <c r="F36" s="590"/>
      <c r="G36" s="590"/>
      <c r="H36" s="590"/>
      <c r="I36" s="590"/>
      <c r="J36" s="590"/>
      <c r="K36" s="590"/>
      <c r="L36" s="590"/>
      <c r="M36" s="590"/>
      <c r="N36" s="590"/>
      <c r="O36" s="590"/>
      <c r="P36" s="590"/>
      <c r="Q36" s="590"/>
      <c r="R36" s="601"/>
      <c r="S36" s="418"/>
      <c r="T36" s="418"/>
      <c r="U36" s="457"/>
      <c r="V36" s="457"/>
      <c r="W36" s="457"/>
      <c r="X36" s="457"/>
      <c r="Y36" s="457"/>
      <c r="Z36" s="457"/>
      <c r="AA36" s="457"/>
      <c r="AB36" s="457"/>
      <c r="AC36" s="467" t="s">
        <v>205</v>
      </c>
      <c r="AD36" s="417"/>
      <c r="AE36" s="576"/>
      <c r="AF36" s="576"/>
      <c r="AG36" s="576"/>
      <c r="AH36" s="576"/>
      <c r="AI36" s="576"/>
      <c r="AJ36" s="576"/>
      <c r="AK36" s="576"/>
      <c r="AL36" s="576"/>
      <c r="AM36" s="576"/>
      <c r="AN36" s="576"/>
      <c r="AO36" s="576"/>
      <c r="AP36" s="576"/>
      <c r="AQ36" s="576"/>
      <c r="AR36" s="417"/>
      <c r="AS36" s="418"/>
      <c r="AT36" s="418"/>
      <c r="BA36" s="496">
        <f>AT33</f>
        <v>400</v>
      </c>
      <c r="BD36" s="418"/>
      <c r="BE36" s="418"/>
      <c r="BN36" s="418"/>
    </row>
    <row r="37" ht="41.25" customHeight="1">
      <c r="A37" s="590"/>
      <c r="B37" s="590"/>
      <c r="C37" s="590"/>
      <c r="D37" s="590"/>
      <c r="E37" s="590"/>
      <c r="F37" s="590"/>
      <c r="G37" s="590"/>
      <c r="H37" s="590"/>
      <c r="I37" s="590"/>
      <c r="J37" s="590"/>
      <c r="K37" s="590"/>
      <c r="L37" s="590"/>
      <c r="M37" s="590"/>
      <c r="N37" s="590"/>
      <c r="O37" s="590"/>
      <c r="P37" s="590"/>
      <c r="Q37" s="590"/>
      <c r="R37" s="601"/>
      <c r="S37" s="418"/>
      <c r="T37" s="418"/>
      <c r="U37" s="570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570"/>
      <c r="W37" s="570"/>
      <c r="X37" s="570"/>
      <c r="Y37" s="570"/>
      <c r="Z37" s="570"/>
      <c r="AA37" s="570"/>
      <c r="AB37" s="570"/>
      <c r="AC37" s="570"/>
      <c r="AD37" s="417"/>
      <c r="AE37" s="576"/>
      <c r="AF37" s="576"/>
      <c r="AG37" s="576"/>
      <c r="AH37" s="576"/>
      <c r="AI37" s="576"/>
      <c r="AJ37" s="576"/>
      <c r="AK37" s="576"/>
      <c r="AL37" s="576"/>
      <c r="AM37" s="576"/>
      <c r="AN37" s="576"/>
      <c r="AO37" s="576"/>
      <c r="AP37" s="576"/>
      <c r="AQ37" s="576"/>
      <c r="AR37" s="417"/>
      <c r="AS37" s="610">
        <f>('بيرسا و لوفرز'!F23+'بيرسا و لوفرز'!V55+'بيرسا و لوفرز'!V63)*1.35</f>
        <v>190752.30000000002</v>
      </c>
      <c r="AT37" s="611"/>
      <c r="BD37" s="610">
        <f>('بيرسا و لوفرز'!F96+'بيرسا و لوفرز'!V126+'بيرسا و لوفرز'!V134)*1.35</f>
        <v>190752.30000000002</v>
      </c>
      <c r="BE37" s="611"/>
      <c r="BN37" s="418"/>
    </row>
    <row r="38" ht="41.25" customHeight="1">
      <c r="A38" s="574"/>
      <c r="B38" s="574"/>
      <c r="C38" s="574"/>
      <c r="D38" s="574"/>
      <c r="E38" s="574"/>
      <c r="F38" s="574"/>
      <c r="G38" s="574"/>
      <c r="H38" s="574"/>
      <c r="I38" s="574"/>
      <c r="J38" s="574"/>
      <c r="K38" s="574"/>
      <c r="L38" s="574"/>
      <c r="M38" s="574"/>
      <c r="N38" s="574"/>
      <c r="O38" s="574"/>
      <c r="P38" s="574"/>
      <c r="Q38" s="574"/>
      <c r="R38" s="601"/>
      <c r="S38" s="418"/>
      <c r="T38" s="418"/>
      <c r="U38" s="418"/>
      <c r="V38" s="418"/>
      <c r="W38" s="418"/>
      <c r="X38" s="418"/>
      <c r="Y38" s="418"/>
      <c r="Z38" s="418"/>
      <c r="AA38" s="418"/>
      <c r="AB38" s="418"/>
      <c r="AC38" s="418"/>
      <c r="AD38" s="417"/>
      <c r="AE38" s="576"/>
      <c r="AF38" s="576"/>
      <c r="AG38" s="576"/>
      <c r="AH38" s="576"/>
      <c r="AI38" s="576"/>
      <c r="AJ38" s="576"/>
      <c r="AK38" s="576"/>
      <c r="AL38" s="576"/>
      <c r="AM38" s="576"/>
      <c r="AN38" s="576"/>
      <c r="AO38" s="576"/>
      <c r="AP38" s="576"/>
      <c r="AQ38" s="576"/>
      <c r="AR38" s="417"/>
      <c r="AS38" s="610">
        <f>AS37/(AT34*AT33/10000)</f>
        <v>9537.6150000000016</v>
      </c>
      <c r="AT38" s="611"/>
      <c r="BD38" s="610">
        <f>BD37/(BE33*BE34/10000)</f>
        <v>9537.6150000000016</v>
      </c>
      <c r="BE38" s="611"/>
      <c r="BK38" s="496">
        <f>BE33</f>
        <v>400</v>
      </c>
      <c r="BN38" s="418"/>
    </row>
    <row r="39" ht="41.25" customHeight="1">
      <c r="A39" s="574"/>
      <c r="B39" s="574"/>
      <c r="C39" s="574"/>
      <c r="D39" s="574"/>
      <c r="E39" s="574"/>
      <c r="F39" s="574"/>
      <c r="G39" s="574"/>
      <c r="H39" s="574"/>
      <c r="I39" s="574"/>
      <c r="J39" s="574"/>
      <c r="K39" s="574"/>
      <c r="L39" s="574"/>
      <c r="M39" s="574"/>
      <c r="N39" s="574"/>
      <c r="O39" s="574"/>
      <c r="P39" s="574"/>
      <c r="Q39" s="574"/>
      <c r="R39" s="601"/>
      <c r="S39" s="574"/>
      <c r="T39" s="574"/>
      <c r="U39" s="574"/>
      <c r="V39" s="574"/>
      <c r="W39" s="574"/>
      <c r="X39" s="574"/>
      <c r="Y39" s="574"/>
      <c r="Z39" s="574"/>
      <c r="AA39" s="574"/>
      <c r="AB39" s="574"/>
      <c r="AC39" s="574"/>
      <c r="AD39" s="417"/>
      <c r="AE39" s="418"/>
      <c r="AF39" s="418"/>
      <c r="AG39" s="418"/>
      <c r="AH39" s="418"/>
      <c r="AI39" s="418"/>
      <c r="AJ39" s="468"/>
      <c r="AK39" s="468"/>
      <c r="AL39" s="418"/>
      <c r="AM39" s="418"/>
      <c r="AN39" s="418"/>
      <c r="AO39" s="418"/>
      <c r="AP39" s="418"/>
      <c r="AQ39" s="418"/>
      <c r="AR39" s="417"/>
      <c r="AS39" s="418"/>
      <c r="AT39" s="418"/>
      <c r="AU39" s="418"/>
      <c r="AV39" s="418"/>
      <c r="AW39" s="418"/>
      <c r="AX39" s="418"/>
      <c r="AY39" s="418"/>
      <c r="AZ39" s="418"/>
      <c r="BA39" s="418"/>
      <c r="BB39" s="418"/>
      <c r="BD39" s="418"/>
      <c r="BE39" s="418"/>
      <c r="BF39" s="418"/>
      <c r="BG39" s="418"/>
      <c r="BH39" s="418"/>
      <c r="BI39" s="418"/>
      <c r="BJ39" s="418"/>
      <c r="BK39" s="418"/>
      <c r="BL39" s="418"/>
      <c r="BM39" s="418"/>
      <c r="BN39" s="418"/>
    </row>
    <row r="40" ht="30.75" customHeight="1">
      <c r="A40" s="574"/>
      <c r="B40" s="574"/>
      <c r="C40" s="574"/>
      <c r="D40" s="574"/>
      <c r="E40" s="574"/>
      <c r="F40" s="574"/>
      <c r="G40" s="574"/>
      <c r="H40" s="574"/>
      <c r="I40" s="574"/>
      <c r="J40" s="574"/>
      <c r="K40" s="574"/>
      <c r="L40" s="574"/>
      <c r="M40" s="574"/>
      <c r="N40" s="574"/>
      <c r="O40" s="574"/>
      <c r="P40" s="574"/>
      <c r="Q40" s="574"/>
      <c r="R40" s="601"/>
      <c r="S40" s="574"/>
      <c r="T40" s="574"/>
      <c r="U40" s="574"/>
      <c r="V40" s="574"/>
      <c r="W40" s="574"/>
      <c r="X40" s="574"/>
      <c r="Y40" s="574"/>
      <c r="Z40" s="574"/>
      <c r="AA40" s="574"/>
      <c r="AB40" s="574"/>
      <c r="AC40" s="574"/>
      <c r="AD40" s="417"/>
      <c r="AE40" s="418"/>
      <c r="AF40" s="418"/>
      <c r="AG40" s="418"/>
      <c r="AH40" s="418"/>
      <c r="AI40" s="418"/>
      <c r="AJ40" s="418"/>
      <c r="AK40" s="418"/>
      <c r="AL40" s="418"/>
      <c r="AM40" s="418"/>
      <c r="AN40" s="418"/>
      <c r="AO40" s="418"/>
      <c r="AP40" s="418"/>
      <c r="AQ40" s="418"/>
      <c r="AR40" s="417"/>
      <c r="AS40" s="418"/>
      <c r="AT40" s="418"/>
      <c r="AU40" s="418"/>
      <c r="AV40" s="418"/>
      <c r="AW40" s="418"/>
      <c r="AX40" s="418"/>
      <c r="AY40" s="418"/>
      <c r="AZ40" s="418"/>
      <c r="BA40" s="418"/>
      <c r="BB40" s="418"/>
      <c r="BD40" s="418"/>
      <c r="BE40" s="418"/>
      <c r="BF40" s="418"/>
      <c r="BG40" s="418"/>
      <c r="BH40" s="418"/>
      <c r="BI40" s="418"/>
      <c r="BJ40" s="418"/>
      <c r="BK40" s="418"/>
      <c r="BL40" s="418"/>
      <c r="BM40" s="418"/>
      <c r="BN40" s="418"/>
    </row>
    <row r="41" ht="42" customHeight="1">
      <c r="A41" s="574"/>
      <c r="B41" s="574"/>
      <c r="C41" s="574"/>
      <c r="D41" s="574"/>
      <c r="E41" s="574"/>
      <c r="F41" s="574"/>
      <c r="G41" s="574"/>
      <c r="H41" s="574"/>
      <c r="I41" s="574"/>
      <c r="J41" s="574"/>
      <c r="K41" s="574"/>
      <c r="L41" s="574"/>
      <c r="M41" s="574"/>
      <c r="N41" s="574"/>
      <c r="O41" s="574"/>
      <c r="P41" s="574"/>
      <c r="Q41" s="574"/>
      <c r="R41" s="601"/>
      <c r="S41" s="574"/>
      <c r="T41" s="574"/>
      <c r="U41" s="574"/>
      <c r="V41" s="574"/>
      <c r="W41" s="574"/>
      <c r="X41" s="574"/>
      <c r="Y41" s="574"/>
      <c r="Z41" s="574"/>
      <c r="AA41" s="574"/>
      <c r="AB41" s="574"/>
      <c r="AC41" s="574"/>
      <c r="AD41" s="417"/>
      <c r="AE41" s="588" t="s">
        <v>206</v>
      </c>
      <c r="AF41" s="588"/>
      <c r="AG41" s="588"/>
      <c r="AH41" s="588"/>
      <c r="AI41" s="588"/>
      <c r="AJ41" s="588"/>
      <c r="AK41" s="588"/>
      <c r="AL41" s="588"/>
      <c r="AM41" s="588"/>
      <c r="AN41" s="588"/>
      <c r="AO41" s="588"/>
      <c r="AP41" s="588"/>
      <c r="AQ41" s="588"/>
      <c r="AR41" s="417"/>
      <c r="AS41" s="612" t="s">
        <v>207</v>
      </c>
      <c r="AT41" s="612"/>
      <c r="AU41" s="612"/>
      <c r="AW41" s="488"/>
      <c r="BD41" s="419" t="s">
        <v>208</v>
      </c>
      <c r="BE41" s="419"/>
      <c r="BF41" s="419"/>
      <c r="BH41" s="488"/>
      <c r="BN41" s="418"/>
    </row>
    <row r="42" ht="42" customHeight="1">
      <c r="A42" s="574"/>
      <c r="B42" s="574"/>
      <c r="C42" s="574"/>
      <c r="D42" s="574"/>
      <c r="E42" s="574"/>
      <c r="F42" s="574"/>
      <c r="G42" s="574"/>
      <c r="H42" s="574"/>
      <c r="I42" s="574"/>
      <c r="J42" s="574"/>
      <c r="K42" s="574"/>
      <c r="L42" s="574"/>
      <c r="M42" s="574"/>
      <c r="N42" s="574"/>
      <c r="O42" s="574"/>
      <c r="P42" s="574"/>
      <c r="Q42" s="574"/>
      <c r="R42" s="601"/>
      <c r="S42" s="597" t="s">
        <v>209</v>
      </c>
      <c r="T42" s="598"/>
      <c r="U42" s="461"/>
      <c r="V42" s="461"/>
      <c r="W42" s="461"/>
      <c r="X42" s="461"/>
      <c r="Y42" s="461"/>
      <c r="Z42" s="461"/>
      <c r="AA42" s="461"/>
      <c r="AB42" s="461"/>
      <c r="AC42" s="461"/>
      <c r="AD42" s="417"/>
      <c r="AE42" s="588"/>
      <c r="AF42" s="588"/>
      <c r="AG42" s="588"/>
      <c r="AH42" s="588"/>
      <c r="AI42" s="588"/>
      <c r="AJ42" s="588"/>
      <c r="AK42" s="588"/>
      <c r="AL42" s="588"/>
      <c r="AM42" s="588"/>
      <c r="AN42" s="588"/>
      <c r="AO42" s="588"/>
      <c r="AP42" s="588"/>
      <c r="AQ42" s="588"/>
      <c r="AR42" s="417"/>
      <c r="AS42" s="475" t="s">
        <v>163</v>
      </c>
      <c r="AT42" s="476">
        <f>'بيرسا و لوفرز'!BM68</f>
        <v>195225.095</v>
      </c>
      <c r="AU42" s="483"/>
      <c r="BD42" s="475" t="s">
        <v>163</v>
      </c>
      <c r="BE42" s="476">
        <f>'بيرسا و لوفرز'!BM139</f>
        <v>207022.48666666666</v>
      </c>
      <c r="BF42" s="483"/>
      <c r="BN42" s="418"/>
    </row>
    <row r="43" ht="42" customHeight="1">
      <c r="A43" s="590" t="s">
        <v>210</v>
      </c>
      <c r="B43" s="590"/>
      <c r="C43" s="590"/>
      <c r="D43" s="590"/>
      <c r="E43" s="590"/>
      <c r="F43" s="590"/>
      <c r="G43" s="590"/>
      <c r="H43" s="590"/>
      <c r="I43" s="590"/>
      <c r="J43" s="590"/>
      <c r="K43" s="590"/>
      <c r="L43" s="590"/>
      <c r="M43" s="590"/>
      <c r="N43" s="590"/>
      <c r="O43" s="590"/>
      <c r="P43" s="590"/>
      <c r="Q43" s="590"/>
      <c r="R43" s="601"/>
      <c r="S43" s="445" t="s">
        <v>163</v>
      </c>
      <c r="T43" s="446">
        <f>'شماسي و كانتليفر'!N51</f>
        <v>79450.8</v>
      </c>
      <c r="U43" s="461"/>
      <c r="V43" s="461"/>
      <c r="W43" s="461"/>
      <c r="X43" s="461"/>
      <c r="Y43" s="461"/>
      <c r="Z43" s="461"/>
      <c r="AA43" s="461"/>
      <c r="AB43" s="461"/>
      <c r="AC43" s="461"/>
      <c r="AD43" s="417"/>
      <c r="AE43" s="588"/>
      <c r="AF43" s="588"/>
      <c r="AG43" s="588"/>
      <c r="AH43" s="588"/>
      <c r="AI43" s="588"/>
      <c r="AJ43" s="588"/>
      <c r="AK43" s="588"/>
      <c r="AL43" s="588"/>
      <c r="AM43" s="588"/>
      <c r="AN43" s="588"/>
      <c r="AO43" s="588"/>
      <c r="AP43" s="588"/>
      <c r="AQ43" s="588"/>
      <c r="AR43" s="417"/>
      <c r="AS43" s="475" t="s">
        <v>127</v>
      </c>
      <c r="AT43" s="477">
        <f>AT42/(AT53*AT54/10000)</f>
        <v>9761.25475</v>
      </c>
      <c r="AU43" s="483"/>
      <c r="AV43" s="484"/>
      <c r="BD43" s="475" t="s">
        <v>127</v>
      </c>
      <c r="BE43" s="477">
        <f>BE42/(BE53*BE54/10000)</f>
        <v>10351.124333333333</v>
      </c>
      <c r="BF43" s="483"/>
      <c r="BG43" s="484"/>
      <c r="BN43" s="418"/>
    </row>
    <row r="44" ht="42" customHeight="1">
      <c r="A44" s="590"/>
      <c r="B44" s="590"/>
      <c r="C44" s="590"/>
      <c r="D44" s="590"/>
      <c r="E44" s="590"/>
      <c r="F44" s="590"/>
      <c r="G44" s="590"/>
      <c r="H44" s="590"/>
      <c r="I44" s="590"/>
      <c r="J44" s="590"/>
      <c r="K44" s="590"/>
      <c r="L44" s="590"/>
      <c r="M44" s="590"/>
      <c r="N44" s="590"/>
      <c r="O44" s="590"/>
      <c r="P44" s="590"/>
      <c r="Q44" s="590"/>
      <c r="R44" s="601"/>
      <c r="S44" s="447" t="s">
        <v>127</v>
      </c>
      <c r="T44" s="446">
        <f>T43/T51</f>
        <v>3178.032</v>
      </c>
      <c r="U44" s="461"/>
      <c r="V44" s="461"/>
      <c r="W44" s="461"/>
      <c r="X44" s="461"/>
      <c r="Y44" s="589"/>
      <c r="Z44" s="589"/>
      <c r="AA44" s="461"/>
      <c r="AB44" s="461"/>
      <c r="AC44" s="461"/>
      <c r="AD44" s="417"/>
      <c r="AE44" s="588"/>
      <c r="AF44" s="588"/>
      <c r="AG44" s="588"/>
      <c r="AH44" s="588"/>
      <c r="AI44" s="588"/>
      <c r="AJ44" s="588"/>
      <c r="AK44" s="588"/>
      <c r="AL44" s="588"/>
      <c r="AM44" s="588"/>
      <c r="AN44" s="588"/>
      <c r="AO44" s="588"/>
      <c r="AP44" s="588"/>
      <c r="AQ44" s="588"/>
      <c r="AR44" s="417"/>
      <c r="AS44" s="429" t="s">
        <v>164</v>
      </c>
      <c r="AT44" s="427" t="s">
        <v>44</v>
      </c>
      <c r="BD44" s="429" t="s">
        <v>164</v>
      </c>
      <c r="BE44" s="427" t="s">
        <v>38</v>
      </c>
      <c r="BN44" s="418"/>
    </row>
    <row r="45" ht="42" customHeight="1">
      <c r="A45" s="590"/>
      <c r="B45" s="590"/>
      <c r="C45" s="590"/>
      <c r="D45" s="590"/>
      <c r="E45" s="590"/>
      <c r="F45" s="590"/>
      <c r="G45" s="590"/>
      <c r="H45" s="590"/>
      <c r="I45" s="590"/>
      <c r="J45" s="590"/>
      <c r="K45" s="590"/>
      <c r="L45" s="590"/>
      <c r="M45" s="590"/>
      <c r="N45" s="590"/>
      <c r="O45" s="590"/>
      <c r="P45" s="590"/>
      <c r="Q45" s="590"/>
      <c r="R45" s="601"/>
      <c r="S45" s="443" t="s">
        <v>164</v>
      </c>
      <c r="T45" s="444" t="s">
        <v>21</v>
      </c>
      <c r="U45" s="461"/>
      <c r="V45" s="461"/>
      <c r="W45" s="461"/>
      <c r="X45" s="461"/>
      <c r="Y45" s="589"/>
      <c r="Z45" s="589"/>
      <c r="AA45" s="461"/>
      <c r="AB45" s="461"/>
      <c r="AC45" s="461"/>
      <c r="AD45" s="417"/>
      <c r="AE45" s="588"/>
      <c r="AF45" s="588"/>
      <c r="AG45" s="588"/>
      <c r="AH45" s="588"/>
      <c r="AI45" s="588"/>
      <c r="AJ45" s="588"/>
      <c r="AK45" s="588"/>
      <c r="AL45" s="588"/>
      <c r="AM45" s="588"/>
      <c r="AN45" s="588"/>
      <c r="AO45" s="588"/>
      <c r="AP45" s="588"/>
      <c r="AQ45" s="588"/>
      <c r="AR45" s="417"/>
      <c r="AS45" s="429" t="s">
        <v>165</v>
      </c>
      <c r="AT45" s="430" t="s">
        <v>166</v>
      </c>
      <c r="AZ45" s="496">
        <f>AT53</f>
        <v>500</v>
      </c>
      <c r="BD45" s="429" t="s">
        <v>165</v>
      </c>
      <c r="BE45" s="430" t="s">
        <v>166</v>
      </c>
      <c r="BN45" s="418"/>
    </row>
    <row r="46" ht="42" customHeight="1">
      <c r="A46" s="590"/>
      <c r="B46" s="590"/>
      <c r="C46" s="590"/>
      <c r="D46" s="590"/>
      <c r="E46" s="590"/>
      <c r="F46" s="590"/>
      <c r="G46" s="590"/>
      <c r="H46" s="590"/>
      <c r="I46" s="590"/>
      <c r="J46" s="590"/>
      <c r="K46" s="590"/>
      <c r="L46" s="590"/>
      <c r="M46" s="590"/>
      <c r="N46" s="590"/>
      <c r="O46" s="590"/>
      <c r="P46" s="590"/>
      <c r="Q46" s="590"/>
      <c r="R46" s="601"/>
      <c r="S46" s="448" t="s">
        <v>165</v>
      </c>
      <c r="T46" s="449" t="s">
        <v>166</v>
      </c>
      <c r="U46" s="461"/>
      <c r="V46" s="461"/>
      <c r="W46" s="461"/>
      <c r="X46" s="461"/>
      <c r="Y46" s="589"/>
      <c r="Z46" s="589"/>
      <c r="AA46" s="461"/>
      <c r="AB46" s="461"/>
      <c r="AC46" s="461"/>
      <c r="AD46" s="417"/>
      <c r="AE46" s="588"/>
      <c r="AF46" s="588"/>
      <c r="AG46" s="588"/>
      <c r="AH46" s="588"/>
      <c r="AI46" s="588"/>
      <c r="AJ46" s="588"/>
      <c r="AK46" s="588"/>
      <c r="AL46" s="588"/>
      <c r="AM46" s="588"/>
      <c r="AN46" s="588"/>
      <c r="AO46" s="588"/>
      <c r="AP46" s="588"/>
      <c r="AQ46" s="588"/>
      <c r="AR46" s="417"/>
      <c r="AS46" s="431" t="s">
        <v>168</v>
      </c>
      <c r="AT46" s="432" t="s">
        <v>177</v>
      </c>
      <c r="AX46" s="496">
        <f>AT54</f>
        <v>400</v>
      </c>
      <c r="BD46" s="431" t="s">
        <v>168</v>
      </c>
      <c r="BE46" s="432" t="s">
        <v>177</v>
      </c>
      <c r="BI46" s="496">
        <f>BE54</f>
        <v>400</v>
      </c>
      <c r="BM46" s="496">
        <f>BE53</f>
        <v>500</v>
      </c>
      <c r="BN46" s="418"/>
    </row>
    <row r="47" ht="42" customHeight="1">
      <c r="A47" s="590"/>
      <c r="B47" s="590"/>
      <c r="C47" s="590"/>
      <c r="D47" s="590"/>
      <c r="E47" s="590"/>
      <c r="F47" s="590"/>
      <c r="G47" s="590"/>
      <c r="H47" s="590"/>
      <c r="I47" s="590"/>
      <c r="J47" s="590"/>
      <c r="K47" s="590"/>
      <c r="L47" s="590"/>
      <c r="M47" s="590"/>
      <c r="N47" s="590"/>
      <c r="O47" s="590"/>
      <c r="P47" s="590"/>
      <c r="Q47" s="590"/>
      <c r="R47" s="601"/>
      <c r="S47" s="443" t="s">
        <v>211</v>
      </c>
      <c r="T47" s="450">
        <f>ROUNDUP(T54/500,0)</f>
        <v>1</v>
      </c>
      <c r="U47" s="461"/>
      <c r="V47" s="461"/>
      <c r="W47" s="461"/>
      <c r="X47" s="461"/>
      <c r="Y47" s="461"/>
      <c r="Z47" s="461"/>
      <c r="AA47" s="461"/>
      <c r="AB47" s="461"/>
      <c r="AC47" s="461"/>
      <c r="AD47" s="417"/>
      <c r="AE47" s="588"/>
      <c r="AF47" s="588"/>
      <c r="AG47" s="588"/>
      <c r="AH47" s="588"/>
      <c r="AI47" s="588"/>
      <c r="AJ47" s="588"/>
      <c r="AK47" s="588"/>
      <c r="AL47" s="588"/>
      <c r="AM47" s="588"/>
      <c r="AN47" s="588"/>
      <c r="AO47" s="588"/>
      <c r="AP47" s="588"/>
      <c r="AQ47" s="588"/>
      <c r="AR47" s="417"/>
      <c r="AS47" s="433"/>
      <c r="AT47" s="434"/>
      <c r="AU47" s="485"/>
      <c r="AV47" s="485"/>
      <c r="AW47" s="485"/>
      <c r="AX47" s="497"/>
      <c r="AY47" s="497"/>
      <c r="BD47" s="433"/>
      <c r="BE47" s="434"/>
      <c r="BF47" s="485"/>
      <c r="BG47" s="485"/>
      <c r="BH47" s="485"/>
      <c r="BI47" s="497"/>
      <c r="BJ47" s="497"/>
      <c r="BN47" s="418"/>
    </row>
    <row r="48" ht="42" customHeight="1">
      <c r="A48" s="590"/>
      <c r="B48" s="590"/>
      <c r="C48" s="590"/>
      <c r="D48" s="590"/>
      <c r="E48" s="590"/>
      <c r="F48" s="590"/>
      <c r="G48" s="590"/>
      <c r="H48" s="590"/>
      <c r="I48" s="590"/>
      <c r="J48" s="590"/>
      <c r="K48" s="590"/>
      <c r="L48" s="590"/>
      <c r="M48" s="590"/>
      <c r="N48" s="590"/>
      <c r="O48" s="590"/>
      <c r="P48" s="590"/>
      <c r="Q48" s="590"/>
      <c r="R48" s="601"/>
      <c r="S48" s="451"/>
      <c r="T48" s="452"/>
      <c r="U48" s="461"/>
      <c r="V48" s="461"/>
      <c r="W48" s="461"/>
      <c r="X48" s="461"/>
      <c r="Y48" s="461"/>
      <c r="Z48" s="461"/>
      <c r="AA48" s="461"/>
      <c r="AB48" s="461"/>
      <c r="AC48" s="461"/>
      <c r="AD48" s="417"/>
      <c r="AE48" s="588"/>
      <c r="AF48" s="588"/>
      <c r="AG48" s="588"/>
      <c r="AH48" s="588"/>
      <c r="AI48" s="588"/>
      <c r="AJ48" s="588"/>
      <c r="AK48" s="588"/>
      <c r="AL48" s="588"/>
      <c r="AM48" s="588"/>
      <c r="AN48" s="588"/>
      <c r="AO48" s="588"/>
      <c r="AP48" s="588"/>
      <c r="AQ48" s="588"/>
      <c r="AR48" s="417"/>
      <c r="AS48" s="442"/>
      <c r="AT48" s="442"/>
      <c r="BD48" s="442"/>
      <c r="BE48" s="442"/>
      <c r="BN48" s="418"/>
    </row>
    <row r="49" ht="42" customHeight="1">
      <c r="A49" s="590"/>
      <c r="B49" s="590"/>
      <c r="C49" s="590"/>
      <c r="D49" s="590"/>
      <c r="E49" s="590"/>
      <c r="F49" s="590"/>
      <c r="G49" s="590"/>
      <c r="H49" s="590"/>
      <c r="I49" s="590"/>
      <c r="J49" s="590"/>
      <c r="K49" s="590"/>
      <c r="L49" s="590"/>
      <c r="M49" s="590"/>
      <c r="N49" s="590"/>
      <c r="O49" s="590"/>
      <c r="P49" s="590"/>
      <c r="Q49" s="590"/>
      <c r="R49" s="601"/>
      <c r="S49" s="451"/>
      <c r="T49" s="451"/>
      <c r="U49" s="461"/>
      <c r="V49" s="461"/>
      <c r="W49" s="461"/>
      <c r="X49" s="461"/>
      <c r="Y49" s="461"/>
      <c r="Z49" s="461"/>
      <c r="AA49" s="461"/>
      <c r="AB49" s="461"/>
      <c r="AC49" s="461"/>
      <c r="AD49" s="417"/>
      <c r="AE49" s="588"/>
      <c r="AF49" s="588"/>
      <c r="AG49" s="588"/>
      <c r="AH49" s="588"/>
      <c r="AI49" s="588"/>
      <c r="AJ49" s="588"/>
      <c r="AK49" s="588"/>
      <c r="AL49" s="588"/>
      <c r="AM49" s="588"/>
      <c r="AN49" s="588"/>
      <c r="AO49" s="588"/>
      <c r="AP49" s="588"/>
      <c r="AQ49" s="588"/>
      <c r="AR49" s="417"/>
      <c r="AS49" s="426" t="s">
        <v>183</v>
      </c>
      <c r="AT49" s="486" t="s">
        <v>184</v>
      </c>
      <c r="BD49" s="426" t="s">
        <v>183</v>
      </c>
      <c r="BE49" s="486" t="s">
        <v>184</v>
      </c>
      <c r="BN49" s="418"/>
    </row>
    <row r="50" ht="42" customHeight="1">
      <c r="A50" s="590"/>
      <c r="B50" s="590"/>
      <c r="C50" s="590"/>
      <c r="D50" s="590"/>
      <c r="E50" s="590"/>
      <c r="F50" s="590"/>
      <c r="G50" s="590"/>
      <c r="H50" s="590"/>
      <c r="I50" s="590"/>
      <c r="J50" s="590"/>
      <c r="K50" s="590"/>
      <c r="L50" s="590"/>
      <c r="M50" s="590"/>
      <c r="N50" s="590"/>
      <c r="O50" s="590"/>
      <c r="P50" s="590"/>
      <c r="Q50" s="590"/>
      <c r="R50" s="601"/>
      <c r="S50" s="451"/>
      <c r="T50" s="452"/>
      <c r="U50" s="461"/>
      <c r="V50" s="461"/>
      <c r="W50" s="461"/>
      <c r="X50" s="461"/>
      <c r="Y50" s="461"/>
      <c r="Z50" s="461"/>
      <c r="AA50" s="461"/>
      <c r="AB50" s="461"/>
      <c r="AC50" s="461"/>
      <c r="AD50" s="417"/>
      <c r="AE50" s="588"/>
      <c r="AF50" s="588"/>
      <c r="AG50" s="588"/>
      <c r="AH50" s="588"/>
      <c r="AI50" s="588"/>
      <c r="AJ50" s="588"/>
      <c r="AK50" s="588"/>
      <c r="AL50" s="588"/>
      <c r="AM50" s="588"/>
      <c r="AN50" s="588"/>
      <c r="AO50" s="588"/>
      <c r="AP50" s="588"/>
      <c r="AQ50" s="588"/>
      <c r="AR50" s="417"/>
      <c r="AS50" s="426" t="s">
        <v>185</v>
      </c>
      <c r="AT50" s="486" t="s">
        <v>186</v>
      </c>
      <c r="AV50" s="487"/>
      <c r="AW50" s="488"/>
      <c r="AX50" s="488"/>
      <c r="AY50" s="488"/>
      <c r="AZ50" s="488"/>
      <c r="BD50" s="426" t="s">
        <v>185</v>
      </c>
      <c r="BE50" s="486" t="s">
        <v>186</v>
      </c>
      <c r="BG50" s="487"/>
      <c r="BH50" s="488"/>
      <c r="BI50" s="488"/>
      <c r="BJ50" s="488"/>
      <c r="BK50" s="488"/>
      <c r="BN50" s="418"/>
    </row>
    <row r="51" ht="42" customHeight="1">
      <c r="A51" s="590"/>
      <c r="B51" s="590"/>
      <c r="C51" s="590"/>
      <c r="D51" s="590"/>
      <c r="E51" s="590"/>
      <c r="F51" s="590"/>
      <c r="G51" s="590"/>
      <c r="H51" s="590"/>
      <c r="I51" s="590"/>
      <c r="J51" s="590"/>
      <c r="K51" s="590"/>
      <c r="L51" s="590"/>
      <c r="M51" s="590"/>
      <c r="N51" s="590"/>
      <c r="O51" s="590"/>
      <c r="P51" s="590"/>
      <c r="Q51" s="590"/>
      <c r="R51" s="601"/>
      <c r="S51" s="443" t="s">
        <v>212</v>
      </c>
      <c r="T51" s="456">
        <f>IF((T52="double"),(T54*T55/5000),(T54*T55/10000))</f>
        <v>25</v>
      </c>
      <c r="U51" s="461"/>
      <c r="V51" s="461"/>
      <c r="W51" s="461"/>
      <c r="X51" s="461"/>
      <c r="Y51" s="461"/>
      <c r="Z51" s="461"/>
      <c r="AA51" s="461"/>
      <c r="AB51" s="461"/>
      <c r="AC51" s="461"/>
      <c r="AD51" s="417"/>
      <c r="AE51" s="588"/>
      <c r="AF51" s="588"/>
      <c r="AG51" s="588"/>
      <c r="AH51" s="588"/>
      <c r="AI51" s="588"/>
      <c r="AJ51" s="588"/>
      <c r="AK51" s="588"/>
      <c r="AL51" s="588"/>
      <c r="AM51" s="588"/>
      <c r="AN51" s="588"/>
      <c r="AO51" s="588"/>
      <c r="AP51" s="588"/>
      <c r="AQ51" s="588"/>
      <c r="AR51" s="417"/>
      <c r="AS51" s="439"/>
      <c r="AT51" s="440"/>
      <c r="AV51" s="488"/>
      <c r="AW51" s="488"/>
      <c r="AX51" s="488"/>
      <c r="AY51" s="488"/>
      <c r="AZ51" s="488"/>
      <c r="BA51" s="488"/>
      <c r="BD51" s="439"/>
      <c r="BE51" s="440"/>
      <c r="BG51" s="488"/>
      <c r="BH51" s="488"/>
      <c r="BI51" s="488"/>
      <c r="BJ51" s="488"/>
      <c r="BK51" s="488"/>
      <c r="BL51" s="488"/>
      <c r="BN51" s="418"/>
    </row>
    <row r="52" ht="42" customHeight="1">
      <c r="A52" s="590"/>
      <c r="B52" s="590"/>
      <c r="C52" s="590"/>
      <c r="D52" s="590"/>
      <c r="E52" s="590"/>
      <c r="F52" s="590"/>
      <c r="G52" s="590"/>
      <c r="H52" s="590"/>
      <c r="I52" s="590"/>
      <c r="J52" s="590"/>
      <c r="K52" s="590"/>
      <c r="L52" s="590"/>
      <c r="M52" s="590"/>
      <c r="N52" s="590"/>
      <c r="O52" s="590"/>
      <c r="P52" s="590"/>
      <c r="Q52" s="590"/>
      <c r="R52" s="601"/>
      <c r="S52" s="443" t="s">
        <v>213</v>
      </c>
      <c r="T52" s="462" t="s">
        <v>182</v>
      </c>
      <c r="U52" s="461"/>
      <c r="V52" s="461"/>
      <c r="W52" s="461"/>
      <c r="X52" s="461"/>
      <c r="Y52" s="461"/>
      <c r="Z52" s="461"/>
      <c r="AA52" s="461"/>
      <c r="AB52" s="461"/>
      <c r="AC52" s="461"/>
      <c r="AD52" s="417"/>
      <c r="AE52" s="588"/>
      <c r="AF52" s="588"/>
      <c r="AG52" s="588"/>
      <c r="AH52" s="588"/>
      <c r="AI52" s="588"/>
      <c r="AJ52" s="588"/>
      <c r="AK52" s="588"/>
      <c r="AL52" s="588"/>
      <c r="AM52" s="588"/>
      <c r="AN52" s="588"/>
      <c r="AO52" s="588"/>
      <c r="AP52" s="588"/>
      <c r="AQ52" s="588"/>
      <c r="AR52" s="417"/>
      <c r="AS52" s="441" t="s">
        <v>188</v>
      </c>
      <c r="AT52" s="437" t="s">
        <v>193</v>
      </c>
      <c r="BA52" s="487"/>
      <c r="BD52" s="441" t="s">
        <v>188</v>
      </c>
      <c r="BE52" s="437" t="s">
        <v>193</v>
      </c>
      <c r="BL52" s="487"/>
      <c r="BN52" s="418"/>
    </row>
    <row r="53" ht="42" customHeight="1">
      <c r="A53" s="590"/>
      <c r="B53" s="590"/>
      <c r="C53" s="590"/>
      <c r="D53" s="590"/>
      <c r="E53" s="590"/>
      <c r="F53" s="590"/>
      <c r="G53" s="590"/>
      <c r="H53" s="590"/>
      <c r="I53" s="590"/>
      <c r="J53" s="590"/>
      <c r="K53" s="590"/>
      <c r="L53" s="590"/>
      <c r="M53" s="590"/>
      <c r="N53" s="590"/>
      <c r="O53" s="590"/>
      <c r="P53" s="590"/>
      <c r="Q53" s="590"/>
      <c r="R53" s="601"/>
      <c r="S53" s="443" t="s">
        <v>188</v>
      </c>
      <c r="T53" s="456" t="s">
        <v>192</v>
      </c>
      <c r="U53" s="461"/>
      <c r="V53" s="461"/>
      <c r="W53" s="461"/>
      <c r="X53" s="461"/>
      <c r="Y53" s="461"/>
      <c r="Z53" s="461"/>
      <c r="AA53" s="461"/>
      <c r="AB53" s="461"/>
      <c r="AC53" s="463">
        <f>T55</f>
        <v>500</v>
      </c>
      <c r="AD53" s="417"/>
      <c r="AE53" s="588"/>
      <c r="AF53" s="588"/>
      <c r="AG53" s="588"/>
      <c r="AH53" s="588"/>
      <c r="AI53" s="588"/>
      <c r="AJ53" s="588"/>
      <c r="AK53" s="588"/>
      <c r="AL53" s="588"/>
      <c r="AM53" s="588"/>
      <c r="AN53" s="588"/>
      <c r="AO53" s="588"/>
      <c r="AP53" s="588"/>
      <c r="AQ53" s="588"/>
      <c r="AR53" s="417"/>
      <c r="AS53" s="441" t="s">
        <v>189</v>
      </c>
      <c r="AT53" s="441">
        <v>500</v>
      </c>
      <c r="BA53" s="0" t="s">
        <v>190</v>
      </c>
      <c r="BD53" s="441" t="s">
        <v>189</v>
      </c>
      <c r="BE53" s="441">
        <v>500</v>
      </c>
      <c r="BL53" s="0" t="s">
        <v>190</v>
      </c>
      <c r="BN53" s="418"/>
    </row>
    <row r="54" ht="42" customHeight="1">
      <c r="A54" s="590"/>
      <c r="B54" s="590"/>
      <c r="C54" s="590"/>
      <c r="D54" s="590"/>
      <c r="E54" s="590"/>
      <c r="F54" s="590"/>
      <c r="G54" s="590"/>
      <c r="H54" s="590"/>
      <c r="I54" s="590"/>
      <c r="J54" s="590"/>
      <c r="K54" s="590"/>
      <c r="L54" s="590"/>
      <c r="M54" s="590"/>
      <c r="N54" s="590"/>
      <c r="O54" s="590"/>
      <c r="P54" s="590"/>
      <c r="Q54" s="590"/>
      <c r="R54" s="601"/>
      <c r="S54" s="443" t="s">
        <v>189</v>
      </c>
      <c r="T54" s="458">
        <v>500</v>
      </c>
      <c r="U54" s="461"/>
      <c r="V54" s="461"/>
      <c r="W54" s="461"/>
      <c r="X54" s="461"/>
      <c r="Y54" s="461"/>
      <c r="Z54" s="461"/>
      <c r="AA54" s="461"/>
      <c r="AC54" s="461"/>
      <c r="AD54" s="417"/>
      <c r="AE54" s="588"/>
      <c r="AF54" s="588"/>
      <c r="AG54" s="588"/>
      <c r="AH54" s="588"/>
      <c r="AI54" s="588"/>
      <c r="AJ54" s="588"/>
      <c r="AK54" s="588"/>
      <c r="AL54" s="588"/>
      <c r="AM54" s="588"/>
      <c r="AN54" s="588"/>
      <c r="AO54" s="588"/>
      <c r="AP54" s="588"/>
      <c r="AQ54" s="588"/>
      <c r="AR54" s="417"/>
      <c r="AS54" s="441" t="s">
        <v>191</v>
      </c>
      <c r="AT54" s="441">
        <v>400</v>
      </c>
      <c r="AU54" s="489"/>
      <c r="AZ54" s="605"/>
      <c r="BA54" s="605"/>
      <c r="BB54" s="605"/>
      <c r="BD54" s="441" t="s">
        <v>191</v>
      </c>
      <c r="BE54" s="441">
        <v>400</v>
      </c>
      <c r="BF54" s="489"/>
      <c r="BK54" s="605"/>
      <c r="BL54" s="605"/>
      <c r="BM54" s="605"/>
      <c r="BN54" s="418"/>
    </row>
    <row r="55" ht="42" customHeight="1">
      <c r="A55" s="590"/>
      <c r="B55" s="590"/>
      <c r="C55" s="590"/>
      <c r="D55" s="590"/>
      <c r="E55" s="590"/>
      <c r="F55" s="590"/>
      <c r="G55" s="590"/>
      <c r="H55" s="590"/>
      <c r="I55" s="590"/>
      <c r="J55" s="590"/>
      <c r="K55" s="590"/>
      <c r="L55" s="590"/>
      <c r="M55" s="590"/>
      <c r="N55" s="590"/>
      <c r="O55" s="590"/>
      <c r="P55" s="590"/>
      <c r="Q55" s="590"/>
      <c r="R55" s="601"/>
      <c r="S55" s="443" t="s">
        <v>191</v>
      </c>
      <c r="T55" s="458">
        <v>500</v>
      </c>
      <c r="U55" s="461"/>
      <c r="V55" s="461"/>
      <c r="W55" s="461"/>
      <c r="X55" s="461"/>
      <c r="Y55" s="461"/>
      <c r="Z55" s="461"/>
      <c r="AA55" s="461"/>
      <c r="AC55" s="461"/>
      <c r="AD55" s="417"/>
      <c r="AE55" s="588"/>
      <c r="AF55" s="588"/>
      <c r="AG55" s="588"/>
      <c r="AH55" s="588"/>
      <c r="AI55" s="588"/>
      <c r="AJ55" s="588"/>
      <c r="AK55" s="588"/>
      <c r="AL55" s="588"/>
      <c r="AM55" s="588"/>
      <c r="AN55" s="588"/>
      <c r="AO55" s="588"/>
      <c r="AP55" s="588"/>
      <c r="AQ55" s="588"/>
      <c r="AR55" s="417"/>
      <c r="AS55" s="418"/>
      <c r="AT55" s="418"/>
      <c r="BD55" s="418"/>
      <c r="BE55" s="418"/>
      <c r="BN55" s="418"/>
    </row>
    <row r="56" ht="42" customHeight="1">
      <c r="A56" s="590"/>
      <c r="B56" s="590"/>
      <c r="C56" s="590"/>
      <c r="D56" s="590"/>
      <c r="E56" s="590"/>
      <c r="F56" s="590"/>
      <c r="G56" s="590"/>
      <c r="H56" s="590"/>
      <c r="I56" s="590"/>
      <c r="J56" s="590"/>
      <c r="K56" s="590"/>
      <c r="L56" s="590"/>
      <c r="M56" s="590"/>
      <c r="N56" s="590"/>
      <c r="O56" s="590"/>
      <c r="P56" s="590"/>
      <c r="Q56" s="590"/>
      <c r="R56" s="601"/>
      <c r="S56" s="461"/>
      <c r="T56" s="461"/>
      <c r="U56" s="461"/>
      <c r="V56" s="461"/>
      <c r="W56" s="463">
        <f>T54</f>
        <v>500</v>
      </c>
      <c r="X56" s="461"/>
      <c r="Y56" s="461"/>
      <c r="Z56" s="461"/>
      <c r="AA56" s="461"/>
      <c r="AB56" s="461"/>
      <c r="AC56" s="461"/>
      <c r="AD56" s="417"/>
      <c r="AE56" s="588"/>
      <c r="AF56" s="588"/>
      <c r="AG56" s="588"/>
      <c r="AH56" s="588"/>
      <c r="AI56" s="588"/>
      <c r="AJ56" s="588"/>
      <c r="AK56" s="588"/>
      <c r="AL56" s="588"/>
      <c r="AM56" s="588"/>
      <c r="AN56" s="588"/>
      <c r="AO56" s="588"/>
      <c r="AP56" s="588"/>
      <c r="AQ56" s="588"/>
      <c r="AR56" s="417"/>
      <c r="AS56" s="418"/>
      <c r="AT56" s="418"/>
      <c r="BD56" s="418"/>
      <c r="BE56" s="418"/>
      <c r="BN56" s="418"/>
    </row>
    <row r="57" ht="42" customHeight="1">
      <c r="A57" s="590"/>
      <c r="B57" s="590"/>
      <c r="C57" s="590"/>
      <c r="D57" s="590"/>
      <c r="E57" s="590"/>
      <c r="F57" s="590"/>
      <c r="G57" s="590"/>
      <c r="H57" s="590"/>
      <c r="I57" s="590"/>
      <c r="J57" s="590"/>
      <c r="K57" s="590"/>
      <c r="L57" s="590"/>
      <c r="M57" s="590"/>
      <c r="N57" s="590"/>
      <c r="O57" s="590"/>
      <c r="P57" s="590"/>
      <c r="Q57" s="590"/>
      <c r="R57" s="601"/>
      <c r="S57" s="461"/>
      <c r="T57" s="461"/>
      <c r="U57" s="461"/>
      <c r="V57" s="461"/>
      <c r="W57" s="461"/>
      <c r="X57" s="461"/>
      <c r="Y57" s="461"/>
      <c r="Z57" s="461"/>
      <c r="AA57" s="461"/>
      <c r="AC57" s="461"/>
      <c r="AD57" s="417"/>
      <c r="AE57" s="588"/>
      <c r="AF57" s="588"/>
      <c r="AG57" s="588"/>
      <c r="AH57" s="588"/>
      <c r="AI57" s="588"/>
      <c r="AJ57" s="588"/>
      <c r="AK57" s="588"/>
      <c r="AL57" s="588"/>
      <c r="AM57" s="588"/>
      <c r="AN57" s="588"/>
      <c r="AO57" s="588"/>
      <c r="AP57" s="588"/>
      <c r="AQ57" s="588"/>
      <c r="AR57" s="417"/>
      <c r="AS57" s="608">
        <f>('بيرسا و لوفرز'!BA14+'بيرسا و لوفرز'!BP62+'بيرسا و لوفرز'!BQ54)*1.35</f>
        <v>130479.52500000001</v>
      </c>
      <c r="AT57" s="609"/>
      <c r="BD57" s="608">
        <f>('بيرسا و لوفرز'!BA85+'بيرسا و لوفرز'!BP133+'بيرسا و لوفرز'!BQ125)*1.35</f>
        <v>130479.52500000001</v>
      </c>
      <c r="BE57" s="609"/>
      <c r="BN57" s="418"/>
    </row>
    <row r="58" ht="42" customHeight="1">
      <c r="A58" s="590"/>
      <c r="B58" s="590"/>
      <c r="C58" s="590"/>
      <c r="D58" s="590"/>
      <c r="E58" s="590"/>
      <c r="F58" s="590"/>
      <c r="G58" s="590"/>
      <c r="H58" s="590"/>
      <c r="I58" s="590"/>
      <c r="J58" s="590"/>
      <c r="K58" s="590"/>
      <c r="L58" s="590"/>
      <c r="M58" s="590"/>
      <c r="N58" s="590"/>
      <c r="O58" s="590"/>
      <c r="P58" s="590"/>
      <c r="Q58" s="590"/>
      <c r="R58" s="601"/>
      <c r="S58" s="461"/>
      <c r="T58" s="461"/>
      <c r="U58" s="461"/>
      <c r="V58" s="461"/>
      <c r="Y58" s="461"/>
      <c r="Z58" s="461"/>
      <c r="AA58" s="461"/>
      <c r="AB58" s="461"/>
      <c r="AC58" s="461"/>
      <c r="AD58" s="417"/>
      <c r="AE58" s="588"/>
      <c r="AF58" s="588"/>
      <c r="AG58" s="588"/>
      <c r="AH58" s="588"/>
      <c r="AI58" s="588"/>
      <c r="AJ58" s="588"/>
      <c r="AK58" s="588"/>
      <c r="AL58" s="588"/>
      <c r="AM58" s="588"/>
      <c r="AN58" s="588"/>
      <c r="AO58" s="588"/>
      <c r="AP58" s="588"/>
      <c r="AQ58" s="588"/>
      <c r="AR58" s="417"/>
      <c r="AS58" s="599">
        <f>AS57/(AT53*AT54/10000)</f>
        <v>6523.9762500000006</v>
      </c>
      <c r="AT58" s="600"/>
      <c r="BD58" s="599">
        <f>BD57/(BE53*BE54/10000)</f>
        <v>6523.9762500000006</v>
      </c>
      <c r="BE58" s="600"/>
      <c r="BN58" s="418"/>
    </row>
    <row r="59" ht="39" customHeight="1">
      <c r="A59" s="590"/>
      <c r="B59" s="590"/>
      <c r="C59" s="590"/>
      <c r="D59" s="590"/>
      <c r="E59" s="590"/>
      <c r="F59" s="590"/>
      <c r="G59" s="590"/>
      <c r="H59" s="590"/>
      <c r="I59" s="590"/>
      <c r="J59" s="590"/>
      <c r="K59" s="590"/>
      <c r="L59" s="590"/>
      <c r="M59" s="590"/>
      <c r="N59" s="590"/>
      <c r="O59" s="590"/>
      <c r="P59" s="590"/>
      <c r="Q59" s="590"/>
      <c r="R59" s="601"/>
      <c r="S59" s="418"/>
      <c r="T59" s="418"/>
      <c r="U59" s="418"/>
      <c r="V59" s="418"/>
      <c r="W59" s="418"/>
      <c r="X59" s="418"/>
      <c r="Y59" s="418"/>
      <c r="Z59" s="418"/>
      <c r="AA59" s="418"/>
      <c r="AB59" s="418"/>
      <c r="AC59" s="418"/>
      <c r="AD59" s="417"/>
      <c r="AE59" s="418"/>
      <c r="AF59" s="418"/>
      <c r="AG59" s="418"/>
      <c r="AH59" s="418"/>
      <c r="AI59" s="418"/>
      <c r="AJ59" s="418"/>
      <c r="AK59" s="418"/>
      <c r="AL59" s="418"/>
      <c r="AM59" s="418"/>
      <c r="AN59" s="418"/>
      <c r="AO59" s="418"/>
      <c r="AP59" s="418"/>
      <c r="AQ59" s="418"/>
      <c r="AR59" s="417"/>
      <c r="AS59" s="418"/>
      <c r="AT59" s="418"/>
      <c r="AU59" s="418"/>
      <c r="AV59" s="418"/>
      <c r="AW59" s="418"/>
      <c r="AX59" s="418"/>
      <c r="AY59" s="418"/>
      <c r="AZ59" s="418"/>
      <c r="BA59" s="418"/>
      <c r="BB59" s="418"/>
      <c r="BD59" s="418"/>
      <c r="BE59" s="418"/>
      <c r="BF59" s="418"/>
      <c r="BG59" s="418"/>
      <c r="BH59" s="418"/>
      <c r="BI59" s="418"/>
      <c r="BJ59" s="418"/>
      <c r="BK59" s="418"/>
      <c r="BL59" s="418"/>
      <c r="BM59" s="418"/>
      <c r="BN59" s="418"/>
    </row>
    <row r="60" ht="42" customHeight="1">
      <c r="A60" s="590" t="s">
        <v>214</v>
      </c>
      <c r="B60" s="590"/>
      <c r="C60" s="590"/>
      <c r="D60" s="590"/>
      <c r="E60" s="590"/>
      <c r="F60" s="590"/>
      <c r="G60" s="590"/>
      <c r="H60" s="590"/>
      <c r="I60" s="590"/>
      <c r="J60" s="590"/>
      <c r="K60" s="590"/>
      <c r="L60" s="590"/>
      <c r="M60" s="590"/>
      <c r="N60" s="590"/>
      <c r="O60" s="590"/>
      <c r="P60" s="590"/>
      <c r="Q60" s="590"/>
      <c r="R60" s="601"/>
      <c r="S60" s="597" t="s">
        <v>209</v>
      </c>
      <c r="T60" s="598"/>
      <c r="U60" s="461"/>
      <c r="V60" s="461"/>
      <c r="W60" s="461"/>
      <c r="X60" s="461"/>
      <c r="Y60" s="461"/>
      <c r="Z60" s="461"/>
      <c r="AA60" s="461"/>
      <c r="AB60" s="461"/>
      <c r="AC60" s="461"/>
      <c r="AD60" s="417"/>
      <c r="AR60" s="417"/>
      <c r="BN60" s="418"/>
    </row>
    <row r="61" ht="40.5" customHeight="1">
      <c r="A61" s="590"/>
      <c r="B61" s="590"/>
      <c r="C61" s="590"/>
      <c r="D61" s="590"/>
      <c r="E61" s="590"/>
      <c r="F61" s="590"/>
      <c r="G61" s="590"/>
      <c r="H61" s="590"/>
      <c r="I61" s="590"/>
      <c r="J61" s="590"/>
      <c r="K61" s="590"/>
      <c r="L61" s="590"/>
      <c r="M61" s="590"/>
      <c r="N61" s="590"/>
      <c r="O61" s="590"/>
      <c r="P61" s="590"/>
      <c r="Q61" s="590"/>
      <c r="R61" s="601"/>
      <c r="S61" s="445" t="s">
        <v>163</v>
      </c>
      <c r="T61" s="446">
        <f>'شماسي و كانتليفر'!N84</f>
        <v>99739.35</v>
      </c>
      <c r="U61" s="461"/>
      <c r="V61" s="461"/>
      <c r="W61" s="461"/>
      <c r="X61" s="461"/>
      <c r="Y61" s="461"/>
      <c r="Z61" s="461"/>
      <c r="AA61" s="461"/>
      <c r="AB61" s="461"/>
      <c r="AC61" s="461"/>
      <c r="AD61" s="417"/>
      <c r="AR61" s="417"/>
      <c r="BN61" s="418"/>
    </row>
    <row r="62" ht="40.5" customHeight="1">
      <c r="A62" s="590"/>
      <c r="B62" s="590"/>
      <c r="C62" s="590"/>
      <c r="D62" s="590"/>
      <c r="E62" s="590"/>
      <c r="F62" s="590"/>
      <c r="G62" s="590"/>
      <c r="H62" s="590"/>
      <c r="I62" s="590"/>
      <c r="J62" s="590"/>
      <c r="K62" s="590"/>
      <c r="L62" s="590"/>
      <c r="M62" s="590"/>
      <c r="N62" s="590"/>
      <c r="O62" s="590"/>
      <c r="P62" s="590"/>
      <c r="Q62" s="590"/>
      <c r="R62" s="601"/>
      <c r="S62" s="447" t="s">
        <v>127</v>
      </c>
      <c r="T62" s="446">
        <f>T61/T69</f>
        <v>3989.574</v>
      </c>
      <c r="U62" s="461"/>
      <c r="V62" s="461"/>
      <c r="W62" s="461"/>
      <c r="X62" s="461"/>
      <c r="Y62" s="589"/>
      <c r="Z62" s="589"/>
      <c r="AA62" s="461"/>
      <c r="AB62" s="461"/>
      <c r="AC62" s="461"/>
      <c r="AD62" s="417"/>
      <c r="AR62" s="417"/>
      <c r="BN62" s="418"/>
    </row>
    <row r="63" ht="40.5" customHeight="1">
      <c r="A63" s="590"/>
      <c r="B63" s="590"/>
      <c r="C63" s="590"/>
      <c r="D63" s="590"/>
      <c r="E63" s="590"/>
      <c r="F63" s="590"/>
      <c r="G63" s="590"/>
      <c r="H63" s="590"/>
      <c r="I63" s="590"/>
      <c r="J63" s="590"/>
      <c r="K63" s="590"/>
      <c r="L63" s="590"/>
      <c r="M63" s="590"/>
      <c r="N63" s="590"/>
      <c r="O63" s="590"/>
      <c r="P63" s="590"/>
      <c r="Q63" s="590"/>
      <c r="R63" s="601"/>
      <c r="S63" s="443" t="s">
        <v>164</v>
      </c>
      <c r="T63" s="444" t="s">
        <v>19</v>
      </c>
      <c r="U63" s="461"/>
      <c r="V63" s="461"/>
      <c r="W63" s="461"/>
      <c r="X63" s="461"/>
      <c r="Y63" s="589"/>
      <c r="Z63" s="589"/>
      <c r="AA63" s="461"/>
      <c r="AB63" s="461"/>
      <c r="AC63" s="461"/>
      <c r="AD63" s="417"/>
      <c r="AR63" s="417"/>
      <c r="BN63" s="418"/>
    </row>
    <row r="64" ht="40.5" customHeight="1">
      <c r="A64" s="590"/>
      <c r="B64" s="590"/>
      <c r="C64" s="590"/>
      <c r="D64" s="590"/>
      <c r="E64" s="590"/>
      <c r="F64" s="590"/>
      <c r="G64" s="590"/>
      <c r="H64" s="590"/>
      <c r="I64" s="590"/>
      <c r="J64" s="590"/>
      <c r="K64" s="590"/>
      <c r="L64" s="590"/>
      <c r="M64" s="590"/>
      <c r="N64" s="590"/>
      <c r="O64" s="590"/>
      <c r="P64" s="590"/>
      <c r="Q64" s="590"/>
      <c r="R64" s="601"/>
      <c r="S64" s="448" t="s">
        <v>165</v>
      </c>
      <c r="T64" s="449" t="s">
        <v>166</v>
      </c>
      <c r="U64" s="461"/>
      <c r="V64" s="461"/>
      <c r="W64" s="461"/>
      <c r="X64" s="461"/>
      <c r="Y64" s="589"/>
      <c r="Z64" s="589"/>
      <c r="AA64" s="461"/>
      <c r="AB64" s="461"/>
      <c r="AC64" s="461"/>
      <c r="AD64" s="417"/>
      <c r="AR64" s="417"/>
      <c r="BN64" s="418"/>
    </row>
    <row r="65" ht="40.5" customHeight="1">
      <c r="A65" s="590"/>
      <c r="B65" s="590"/>
      <c r="C65" s="590"/>
      <c r="D65" s="590"/>
      <c r="E65" s="590"/>
      <c r="F65" s="590"/>
      <c r="G65" s="590"/>
      <c r="H65" s="590"/>
      <c r="I65" s="590"/>
      <c r="J65" s="590"/>
      <c r="K65" s="590"/>
      <c r="L65" s="590"/>
      <c r="M65" s="590"/>
      <c r="N65" s="590"/>
      <c r="O65" s="590"/>
      <c r="P65" s="590"/>
      <c r="Q65" s="590"/>
      <c r="R65" s="601"/>
      <c r="S65" s="443" t="s">
        <v>211</v>
      </c>
      <c r="T65" s="450">
        <f>ROUNDUP(T72/500,0)</f>
        <v>1</v>
      </c>
      <c r="U65" s="461"/>
      <c r="V65" s="461"/>
      <c r="W65" s="461"/>
      <c r="X65" s="461"/>
      <c r="Y65" s="461"/>
      <c r="Z65" s="461"/>
      <c r="AA65" s="461"/>
      <c r="AB65" s="461"/>
      <c r="AC65" s="461"/>
      <c r="AD65" s="417"/>
      <c r="AR65" s="417"/>
      <c r="BN65" s="418"/>
    </row>
    <row r="66" ht="40.5" customHeight="1">
      <c r="A66" s="590"/>
      <c r="B66" s="590"/>
      <c r="C66" s="590"/>
      <c r="D66" s="590"/>
      <c r="E66" s="590"/>
      <c r="F66" s="590"/>
      <c r="G66" s="590"/>
      <c r="H66" s="590"/>
      <c r="I66" s="590"/>
      <c r="J66" s="590"/>
      <c r="K66" s="590"/>
      <c r="L66" s="590"/>
      <c r="M66" s="590"/>
      <c r="N66" s="590"/>
      <c r="O66" s="590"/>
      <c r="P66" s="590"/>
      <c r="Q66" s="590"/>
      <c r="R66" s="601"/>
      <c r="S66" s="451"/>
      <c r="T66" s="452"/>
      <c r="U66" s="461"/>
      <c r="V66" s="461"/>
      <c r="W66" s="461"/>
      <c r="X66" s="461"/>
      <c r="Y66" s="461"/>
      <c r="Z66" s="461"/>
      <c r="AA66" s="461"/>
      <c r="AB66" s="461"/>
      <c r="AC66" s="461"/>
      <c r="AD66" s="417"/>
      <c r="AR66" s="417"/>
      <c r="BN66" s="418"/>
    </row>
    <row r="67" ht="40.5" customHeight="1">
      <c r="A67" s="590"/>
      <c r="B67" s="590"/>
      <c r="C67" s="590"/>
      <c r="D67" s="590"/>
      <c r="E67" s="590"/>
      <c r="F67" s="590"/>
      <c r="G67" s="590"/>
      <c r="H67" s="590"/>
      <c r="I67" s="590"/>
      <c r="J67" s="590"/>
      <c r="K67" s="590"/>
      <c r="L67" s="590"/>
      <c r="M67" s="590"/>
      <c r="N67" s="590"/>
      <c r="O67" s="590"/>
      <c r="P67" s="590"/>
      <c r="Q67" s="590"/>
      <c r="R67" s="601"/>
      <c r="S67" s="451"/>
      <c r="T67" s="451"/>
      <c r="U67" s="461"/>
      <c r="V67" s="461"/>
      <c r="W67" s="461"/>
      <c r="X67" s="461"/>
      <c r="Y67" s="461"/>
      <c r="Z67" s="461"/>
      <c r="AA67" s="461"/>
      <c r="AB67" s="461"/>
      <c r="AC67" s="461"/>
      <c r="AD67" s="417"/>
      <c r="AR67" s="417"/>
      <c r="BN67" s="418"/>
    </row>
    <row r="68" ht="40.5" customHeight="1">
      <c r="A68" s="590"/>
      <c r="B68" s="590"/>
      <c r="C68" s="590"/>
      <c r="D68" s="590"/>
      <c r="E68" s="590"/>
      <c r="F68" s="590"/>
      <c r="G68" s="590"/>
      <c r="H68" s="590"/>
      <c r="I68" s="590"/>
      <c r="J68" s="590"/>
      <c r="K68" s="590"/>
      <c r="L68" s="590"/>
      <c r="M68" s="590"/>
      <c r="N68" s="590"/>
      <c r="O68" s="590"/>
      <c r="P68" s="590"/>
      <c r="Q68" s="590"/>
      <c r="R68" s="601"/>
      <c r="S68" s="451"/>
      <c r="T68" s="452"/>
      <c r="U68" s="461"/>
      <c r="V68" s="461"/>
      <c r="W68" s="461"/>
      <c r="X68" s="461"/>
      <c r="Y68" s="461"/>
      <c r="Z68" s="461"/>
      <c r="AA68" s="461"/>
      <c r="AB68" s="461"/>
      <c r="AC68" s="461"/>
      <c r="AD68" s="417"/>
      <c r="AR68" s="417"/>
      <c r="BN68" s="418"/>
    </row>
    <row r="69" ht="40.5" customHeight="1">
      <c r="A69" s="590"/>
      <c r="B69" s="590"/>
      <c r="C69" s="590"/>
      <c r="D69" s="590"/>
      <c r="E69" s="590"/>
      <c r="F69" s="590"/>
      <c r="G69" s="590"/>
      <c r="H69" s="590"/>
      <c r="I69" s="590"/>
      <c r="J69" s="590"/>
      <c r="K69" s="590"/>
      <c r="L69" s="590"/>
      <c r="M69" s="590"/>
      <c r="N69" s="590"/>
      <c r="O69" s="590"/>
      <c r="P69" s="590"/>
      <c r="Q69" s="590"/>
      <c r="R69" s="601"/>
      <c r="S69" s="443" t="s">
        <v>212</v>
      </c>
      <c r="T69" s="456">
        <f>IF((T70="double"),(T72*T73/5000),(T72*T73/10000))</f>
        <v>25</v>
      </c>
      <c r="U69" s="461"/>
      <c r="V69" s="461"/>
      <c r="W69" s="461"/>
      <c r="X69" s="461"/>
      <c r="Y69" s="461"/>
      <c r="Z69" s="461"/>
      <c r="AB69" s="461"/>
      <c r="AC69" s="461"/>
      <c r="AD69" s="417"/>
      <c r="AR69" s="417"/>
      <c r="BN69" s="418"/>
    </row>
    <row r="70" ht="40.5" customHeight="1">
      <c r="A70" s="590"/>
      <c r="B70" s="590"/>
      <c r="C70" s="590"/>
      <c r="D70" s="590"/>
      <c r="E70" s="590"/>
      <c r="F70" s="590"/>
      <c r="G70" s="590"/>
      <c r="H70" s="590"/>
      <c r="I70" s="590"/>
      <c r="J70" s="590"/>
      <c r="K70" s="590"/>
      <c r="L70" s="590"/>
      <c r="M70" s="590"/>
      <c r="N70" s="590"/>
      <c r="O70" s="590"/>
      <c r="P70" s="590"/>
      <c r="Q70" s="590"/>
      <c r="R70" s="601"/>
      <c r="S70" s="443" t="s">
        <v>213</v>
      </c>
      <c r="T70" s="462" t="s">
        <v>182</v>
      </c>
      <c r="U70" s="461"/>
      <c r="V70" s="461"/>
      <c r="W70" s="461"/>
      <c r="X70" s="461"/>
      <c r="Y70" s="461"/>
      <c r="Z70" s="461"/>
      <c r="AA70" s="461"/>
      <c r="AB70" s="461"/>
      <c r="AC70" s="461"/>
      <c r="AD70" s="417"/>
      <c r="AR70" s="417"/>
      <c r="BN70" s="418"/>
    </row>
    <row r="71" ht="40.5" customHeight="1">
      <c r="A71" s="590"/>
      <c r="B71" s="590"/>
      <c r="C71" s="590"/>
      <c r="D71" s="590"/>
      <c r="E71" s="590"/>
      <c r="F71" s="590"/>
      <c r="G71" s="590"/>
      <c r="H71" s="590"/>
      <c r="I71" s="590"/>
      <c r="J71" s="590"/>
      <c r="K71" s="590"/>
      <c r="L71" s="590"/>
      <c r="M71" s="590"/>
      <c r="N71" s="590"/>
      <c r="O71" s="590"/>
      <c r="P71" s="590"/>
      <c r="Q71" s="590"/>
      <c r="R71" s="601"/>
      <c r="S71" s="443" t="s">
        <v>188</v>
      </c>
      <c r="T71" s="456" t="s">
        <v>192</v>
      </c>
      <c r="U71" s="461"/>
      <c r="V71" s="461"/>
      <c r="W71" s="461"/>
      <c r="X71" s="461"/>
      <c r="Y71" s="461"/>
      <c r="Z71" s="461"/>
      <c r="AA71" s="461"/>
      <c r="AC71" s="463">
        <f>T73</f>
        <v>500</v>
      </c>
      <c r="AD71" s="417"/>
      <c r="AR71" s="417"/>
      <c r="BN71" s="418"/>
    </row>
    <row r="72" ht="40.5" customHeight="1">
      <c r="A72" s="590"/>
      <c r="B72" s="590"/>
      <c r="C72" s="590"/>
      <c r="D72" s="590"/>
      <c r="E72" s="590"/>
      <c r="F72" s="590"/>
      <c r="G72" s="590"/>
      <c r="H72" s="590"/>
      <c r="I72" s="590"/>
      <c r="J72" s="590"/>
      <c r="K72" s="590"/>
      <c r="L72" s="590"/>
      <c r="M72" s="590"/>
      <c r="N72" s="590"/>
      <c r="O72" s="590"/>
      <c r="P72" s="590"/>
      <c r="Q72" s="590"/>
      <c r="R72" s="601"/>
      <c r="S72" s="443" t="s">
        <v>189</v>
      </c>
      <c r="T72" s="458">
        <v>500</v>
      </c>
      <c r="U72" s="461"/>
      <c r="V72" s="461"/>
      <c r="W72" s="461"/>
      <c r="X72" s="461"/>
      <c r="Y72" s="461"/>
      <c r="Z72" s="461"/>
      <c r="AA72" s="461"/>
      <c r="AC72" s="461"/>
      <c r="AD72" s="417"/>
      <c r="AR72" s="417"/>
      <c r="BN72" s="418"/>
    </row>
    <row r="73" ht="40.5" customHeight="1">
      <c r="A73" s="590"/>
      <c r="B73" s="590"/>
      <c r="C73" s="590"/>
      <c r="D73" s="590"/>
      <c r="E73" s="590"/>
      <c r="F73" s="590"/>
      <c r="G73" s="590"/>
      <c r="H73" s="590"/>
      <c r="I73" s="590"/>
      <c r="J73" s="590"/>
      <c r="K73" s="590"/>
      <c r="L73" s="590"/>
      <c r="M73" s="590"/>
      <c r="N73" s="590"/>
      <c r="O73" s="590"/>
      <c r="P73" s="590"/>
      <c r="Q73" s="590"/>
      <c r="R73" s="601"/>
      <c r="S73" s="443" t="s">
        <v>191</v>
      </c>
      <c r="T73" s="458">
        <v>500</v>
      </c>
      <c r="U73" s="461"/>
      <c r="V73" s="461"/>
      <c r="X73" s="461"/>
      <c r="Y73" s="461"/>
      <c r="Z73" s="461"/>
      <c r="AA73" s="461"/>
      <c r="AC73" s="461"/>
      <c r="AD73" s="417"/>
      <c r="AR73" s="417"/>
      <c r="BN73" s="418"/>
    </row>
    <row r="74" ht="39.75" customHeight="1">
      <c r="A74" s="590"/>
      <c r="B74" s="590"/>
      <c r="C74" s="590"/>
      <c r="D74" s="590"/>
      <c r="E74" s="590"/>
      <c r="F74" s="590"/>
      <c r="G74" s="590"/>
      <c r="H74" s="590"/>
      <c r="I74" s="590"/>
      <c r="J74" s="590"/>
      <c r="K74" s="590"/>
      <c r="L74" s="590"/>
      <c r="M74" s="590"/>
      <c r="N74" s="590"/>
      <c r="O74" s="590"/>
      <c r="P74" s="590"/>
      <c r="Q74" s="590"/>
      <c r="R74" s="601"/>
      <c r="S74" s="461"/>
      <c r="T74" s="461"/>
      <c r="U74" s="461"/>
      <c r="V74" s="461"/>
      <c r="W74" s="461"/>
      <c r="X74" s="461"/>
      <c r="Y74" s="461"/>
      <c r="Z74" s="461"/>
      <c r="AA74" s="461"/>
      <c r="AB74" s="461"/>
      <c r="AC74" s="461"/>
      <c r="AD74" s="417"/>
      <c r="AR74" s="417"/>
      <c r="BN74" s="418"/>
    </row>
    <row r="75" ht="39.75" customHeight="1">
      <c r="A75" s="590"/>
      <c r="B75" s="590"/>
      <c r="C75" s="590"/>
      <c r="D75" s="590"/>
      <c r="E75" s="590"/>
      <c r="F75" s="590"/>
      <c r="G75" s="590"/>
      <c r="H75" s="590"/>
      <c r="I75" s="590"/>
      <c r="J75" s="590"/>
      <c r="K75" s="590"/>
      <c r="L75" s="590"/>
      <c r="M75" s="590"/>
      <c r="N75" s="590"/>
      <c r="O75" s="590"/>
      <c r="P75" s="590"/>
      <c r="Q75" s="590"/>
      <c r="R75" s="601"/>
      <c r="S75" s="461"/>
      <c r="T75" s="461"/>
      <c r="U75" s="461"/>
      <c r="V75" s="461"/>
      <c r="W75" s="463">
        <f>T72</f>
        <v>500</v>
      </c>
      <c r="X75" s="461"/>
      <c r="Y75" s="461"/>
      <c r="Z75" s="461"/>
      <c r="AA75" s="461"/>
      <c r="AC75" s="461"/>
      <c r="AD75" s="417"/>
      <c r="AR75" s="417"/>
      <c r="BN75" s="418"/>
    </row>
    <row r="76" ht="39.75" customHeight="1">
      <c r="A76" s="590"/>
      <c r="B76" s="590"/>
      <c r="C76" s="590"/>
      <c r="D76" s="590"/>
      <c r="E76" s="590"/>
      <c r="F76" s="590"/>
      <c r="G76" s="590"/>
      <c r="H76" s="590"/>
      <c r="I76" s="590"/>
      <c r="J76" s="590"/>
      <c r="K76" s="590"/>
      <c r="L76" s="590"/>
      <c r="M76" s="590"/>
      <c r="N76" s="590"/>
      <c r="O76" s="590"/>
      <c r="P76" s="590"/>
      <c r="Q76" s="590"/>
      <c r="R76" s="601"/>
      <c r="S76" s="461"/>
      <c r="T76" s="461"/>
      <c r="U76" s="461"/>
      <c r="V76" s="461"/>
      <c r="Y76" s="461"/>
      <c r="Z76" s="461"/>
      <c r="AA76" s="461"/>
      <c r="AB76" s="461"/>
      <c r="AC76" s="461"/>
      <c r="AD76" s="417"/>
      <c r="AR76" s="417"/>
      <c r="BN76" s="418"/>
    </row>
    <row r="77" ht="15" customHeight="1">
      <c r="A77" s="501"/>
      <c r="B77" s="501"/>
      <c r="C77" s="501"/>
      <c r="D77" s="501"/>
      <c r="E77" s="501"/>
      <c r="F77" s="501"/>
      <c r="G77" s="501"/>
      <c r="H77" s="501"/>
      <c r="I77" s="501"/>
      <c r="J77" s="501"/>
      <c r="K77" s="501"/>
      <c r="L77" s="501"/>
      <c r="M77" s="501"/>
      <c r="N77" s="501"/>
      <c r="O77" s="501"/>
      <c r="P77" s="501"/>
      <c r="Q77" s="501"/>
      <c r="R77" s="601"/>
      <c r="AD77" s="417"/>
      <c r="AR77" s="417"/>
      <c r="BN77" s="418"/>
    </row>
    <row r="78" ht="15" customHeight="1">
      <c r="A78" s="587" t="s">
        <v>215</v>
      </c>
      <c r="B78" s="587"/>
      <c r="C78" s="587"/>
      <c r="D78" s="587"/>
      <c r="E78" s="587"/>
      <c r="F78" s="587"/>
      <c r="G78" s="587"/>
      <c r="H78" s="587"/>
      <c r="I78" s="587"/>
      <c r="J78" s="587"/>
      <c r="K78" s="587"/>
      <c r="L78" s="587"/>
      <c r="M78" s="587"/>
      <c r="N78" s="587"/>
      <c r="O78" s="587"/>
      <c r="P78" s="587"/>
      <c r="Q78" s="587"/>
      <c r="R78" s="601"/>
      <c r="S78" s="502"/>
      <c r="T78" s="502"/>
      <c r="U78" s="502"/>
      <c r="V78" s="502"/>
      <c r="W78" s="502"/>
      <c r="X78" s="502"/>
      <c r="Y78" s="502"/>
      <c r="Z78" s="502"/>
      <c r="AA78" s="502"/>
      <c r="AB78" s="502"/>
      <c r="AC78" s="502"/>
      <c r="AD78" s="417"/>
      <c r="AR78" s="417"/>
      <c r="BN78" s="418"/>
    </row>
    <row r="79" ht="38.25" customHeight="1">
      <c r="A79" s="587"/>
      <c r="B79" s="587"/>
      <c r="C79" s="587"/>
      <c r="D79" s="587"/>
      <c r="E79" s="587"/>
      <c r="F79" s="587"/>
      <c r="G79" s="587"/>
      <c r="H79" s="587"/>
      <c r="I79" s="587"/>
      <c r="J79" s="587"/>
      <c r="K79" s="587"/>
      <c r="L79" s="587"/>
      <c r="M79" s="587"/>
      <c r="N79" s="587"/>
      <c r="O79" s="587"/>
      <c r="P79" s="587"/>
      <c r="Q79" s="587"/>
      <c r="R79" s="601"/>
      <c r="AC79" s="417"/>
      <c r="AQ79" s="417"/>
      <c r="BB79" s="417"/>
      <c r="BM79" s="418"/>
    </row>
    <row r="80" ht="38.25" customHeight="1">
      <c r="A80" s="587"/>
      <c r="B80" s="587"/>
      <c r="C80" s="587"/>
      <c r="D80" s="587"/>
      <c r="E80" s="587"/>
      <c r="F80" s="587"/>
      <c r="G80" s="587"/>
      <c r="H80" s="587"/>
      <c r="I80" s="587"/>
      <c r="J80" s="587"/>
      <c r="K80" s="587"/>
      <c r="L80" s="587"/>
      <c r="M80" s="587"/>
      <c r="N80" s="587"/>
      <c r="O80" s="587"/>
      <c r="P80" s="587"/>
      <c r="Q80" s="587"/>
      <c r="R80" s="601"/>
      <c r="AQ80" s="417"/>
      <c r="BB80" s="417"/>
      <c r="BM80" s="418"/>
    </row>
    <row r="81" ht="38.25" customHeight="1">
      <c r="A81" s="587"/>
      <c r="B81" s="587"/>
      <c r="C81" s="587"/>
      <c r="D81" s="587"/>
      <c r="E81" s="587"/>
      <c r="F81" s="587"/>
      <c r="G81" s="587"/>
      <c r="H81" s="587"/>
      <c r="I81" s="587"/>
      <c r="J81" s="587"/>
      <c r="K81" s="587"/>
      <c r="L81" s="587"/>
      <c r="M81" s="587"/>
      <c r="N81" s="587"/>
      <c r="O81" s="587"/>
      <c r="P81" s="587"/>
      <c r="Q81" s="587"/>
      <c r="R81" s="601"/>
      <c r="AQ81" s="417"/>
      <c r="BB81" s="417"/>
      <c r="BM81" s="418"/>
    </row>
    <row r="82" ht="38.25" customHeight="1">
      <c r="A82" s="587"/>
      <c r="B82" s="587"/>
      <c r="C82" s="587"/>
      <c r="D82" s="587"/>
      <c r="E82" s="587"/>
      <c r="F82" s="587"/>
      <c r="G82" s="587"/>
      <c r="H82" s="587"/>
      <c r="I82" s="587"/>
      <c r="J82" s="587"/>
      <c r="K82" s="587"/>
      <c r="L82" s="587"/>
      <c r="M82" s="587"/>
      <c r="N82" s="587"/>
      <c r="O82" s="587"/>
      <c r="P82" s="587"/>
      <c r="Q82" s="587"/>
      <c r="R82" s="601"/>
      <c r="AQ82" s="417"/>
      <c r="BB82" s="417"/>
      <c r="BM82" s="418"/>
    </row>
    <row r="83" ht="38.25" customHeight="1">
      <c r="A83" s="587"/>
      <c r="B83" s="587"/>
      <c r="C83" s="587"/>
      <c r="D83" s="587"/>
      <c r="E83" s="587"/>
      <c r="F83" s="587"/>
      <c r="G83" s="587"/>
      <c r="H83" s="587"/>
      <c r="I83" s="587"/>
      <c r="J83" s="587"/>
      <c r="K83" s="587"/>
      <c r="L83" s="587"/>
      <c r="M83" s="587"/>
      <c r="N83" s="587"/>
      <c r="O83" s="587"/>
      <c r="P83" s="587"/>
      <c r="Q83" s="587"/>
      <c r="R83" s="601"/>
      <c r="AQ83" s="417"/>
      <c r="BB83" s="417"/>
      <c r="BM83" s="418"/>
    </row>
    <row r="84" ht="38.25" customHeight="1">
      <c r="A84" s="587"/>
      <c r="B84" s="587"/>
      <c r="C84" s="587"/>
      <c r="D84" s="587"/>
      <c r="E84" s="587"/>
      <c r="F84" s="587"/>
      <c r="G84" s="587"/>
      <c r="H84" s="587"/>
      <c r="I84" s="587"/>
      <c r="J84" s="587"/>
      <c r="K84" s="587"/>
      <c r="L84" s="587"/>
      <c r="M84" s="587"/>
      <c r="N84" s="587"/>
      <c r="O84" s="587"/>
      <c r="P84" s="587"/>
      <c r="Q84" s="587"/>
      <c r="R84" s="601"/>
      <c r="AQ84" s="417"/>
      <c r="BB84" s="417"/>
      <c r="BM84" s="418"/>
    </row>
    <row r="85" ht="38.25" customHeight="1">
      <c r="A85" s="587"/>
      <c r="B85" s="587"/>
      <c r="C85" s="587"/>
      <c r="D85" s="587"/>
      <c r="E85" s="587"/>
      <c r="F85" s="587"/>
      <c r="G85" s="587"/>
      <c r="H85" s="587"/>
      <c r="I85" s="587"/>
      <c r="J85" s="587"/>
      <c r="K85" s="587"/>
      <c r="L85" s="587"/>
      <c r="M85" s="587"/>
      <c r="N85" s="587"/>
      <c r="O85" s="587"/>
      <c r="P85" s="587"/>
      <c r="Q85" s="587"/>
      <c r="R85" s="601"/>
      <c r="AQ85" s="417"/>
      <c r="BB85" s="417"/>
      <c r="BM85" s="418"/>
    </row>
    <row r="86" ht="38.25" customHeight="1">
      <c r="A86" s="587"/>
      <c r="B86" s="587"/>
      <c r="C86" s="587"/>
      <c r="D86" s="587"/>
      <c r="E86" s="587"/>
      <c r="F86" s="587"/>
      <c r="G86" s="587"/>
      <c r="H86" s="587"/>
      <c r="I86" s="587"/>
      <c r="J86" s="587"/>
      <c r="K86" s="587"/>
      <c r="L86" s="587"/>
      <c r="M86" s="587"/>
      <c r="N86" s="587"/>
      <c r="O86" s="587"/>
      <c r="P86" s="587"/>
      <c r="Q86" s="587"/>
      <c r="R86" s="601"/>
      <c r="AQ86" s="417"/>
      <c r="BB86" s="417"/>
      <c r="BM86" s="418"/>
    </row>
    <row r="87" ht="38.25" customHeight="1">
      <c r="A87" s="587"/>
      <c r="B87" s="587"/>
      <c r="C87" s="587"/>
      <c r="D87" s="587"/>
      <c r="E87" s="587"/>
      <c r="F87" s="587"/>
      <c r="G87" s="587"/>
      <c r="H87" s="587"/>
      <c r="I87" s="587"/>
      <c r="J87" s="587"/>
      <c r="K87" s="587"/>
      <c r="L87" s="587"/>
      <c r="M87" s="587"/>
      <c r="N87" s="587"/>
      <c r="O87" s="587"/>
      <c r="P87" s="587"/>
      <c r="Q87" s="587"/>
      <c r="R87" s="601"/>
      <c r="AQ87" s="417"/>
      <c r="BB87" s="417"/>
      <c r="BM87" s="418"/>
    </row>
    <row r="88" ht="38.25" customHeight="1">
      <c r="A88" s="587"/>
      <c r="B88" s="587"/>
      <c r="C88" s="587"/>
      <c r="D88" s="587"/>
      <c r="E88" s="587"/>
      <c r="F88" s="587"/>
      <c r="G88" s="587"/>
      <c r="H88" s="587"/>
      <c r="I88" s="587"/>
      <c r="J88" s="587"/>
      <c r="K88" s="587"/>
      <c r="L88" s="587"/>
      <c r="M88" s="587"/>
      <c r="N88" s="587"/>
      <c r="O88" s="587"/>
      <c r="P88" s="587"/>
      <c r="Q88" s="587"/>
      <c r="R88" s="601"/>
      <c r="AQ88" s="417"/>
      <c r="BB88" s="417"/>
      <c r="BM88" s="418"/>
    </row>
    <row r="89" ht="38.25" customHeight="1">
      <c r="A89" s="587"/>
      <c r="B89" s="587"/>
      <c r="C89" s="587"/>
      <c r="D89" s="587"/>
      <c r="E89" s="587"/>
      <c r="F89" s="587"/>
      <c r="G89" s="587"/>
      <c r="H89" s="587"/>
      <c r="I89" s="587"/>
      <c r="J89" s="587"/>
      <c r="K89" s="587"/>
      <c r="L89" s="587"/>
      <c r="M89" s="587"/>
      <c r="N89" s="587"/>
      <c r="O89" s="587"/>
      <c r="P89" s="587"/>
      <c r="Q89" s="587"/>
      <c r="R89" s="601"/>
      <c r="AQ89" s="417"/>
      <c r="BB89" s="417"/>
      <c r="BM89" s="418"/>
    </row>
    <row r="90" ht="38.25" customHeight="1">
      <c r="A90" s="587"/>
      <c r="B90" s="587"/>
      <c r="C90" s="587"/>
      <c r="D90" s="587"/>
      <c r="E90" s="587"/>
      <c r="F90" s="587"/>
      <c r="G90" s="587"/>
      <c r="H90" s="587"/>
      <c r="I90" s="587"/>
      <c r="J90" s="587"/>
      <c r="K90" s="587"/>
      <c r="L90" s="587"/>
      <c r="M90" s="587"/>
      <c r="N90" s="587"/>
      <c r="O90" s="587"/>
      <c r="P90" s="587"/>
      <c r="Q90" s="587"/>
      <c r="R90" s="601"/>
      <c r="AQ90" s="417"/>
      <c r="BB90" s="417"/>
      <c r="BM90" s="418"/>
    </row>
    <row r="91" ht="38.25" customHeight="1">
      <c r="A91" s="587"/>
      <c r="B91" s="587"/>
      <c r="C91" s="587"/>
      <c r="D91" s="587"/>
      <c r="E91" s="587"/>
      <c r="F91" s="587"/>
      <c r="G91" s="587"/>
      <c r="H91" s="587"/>
      <c r="I91" s="587"/>
      <c r="J91" s="587"/>
      <c r="K91" s="587"/>
      <c r="L91" s="587"/>
      <c r="M91" s="587"/>
      <c r="N91" s="587"/>
      <c r="O91" s="587"/>
      <c r="P91" s="587"/>
      <c r="Q91" s="587"/>
      <c r="R91" s="601"/>
      <c r="AQ91" s="417"/>
      <c r="BB91" s="417"/>
      <c r="BM91" s="418"/>
    </row>
    <row r="92" ht="38.25" customHeight="1">
      <c r="A92" s="587"/>
      <c r="B92" s="587"/>
      <c r="C92" s="587"/>
      <c r="D92" s="587"/>
      <c r="E92" s="587"/>
      <c r="F92" s="587"/>
      <c r="G92" s="587"/>
      <c r="H92" s="587"/>
      <c r="I92" s="587"/>
      <c r="J92" s="587"/>
      <c r="K92" s="587"/>
      <c r="L92" s="587"/>
      <c r="M92" s="587"/>
      <c r="N92" s="587"/>
      <c r="O92" s="587"/>
      <c r="P92" s="587"/>
      <c r="Q92" s="587"/>
      <c r="R92" s="601"/>
      <c r="AQ92" s="417"/>
      <c r="BB92" s="417"/>
      <c r="BM92" s="418"/>
    </row>
    <row r="93" ht="38.25" customHeight="1">
      <c r="A93" s="587"/>
      <c r="B93" s="587"/>
      <c r="C93" s="587"/>
      <c r="D93" s="587"/>
      <c r="E93" s="587"/>
      <c r="F93" s="587"/>
      <c r="G93" s="587"/>
      <c r="H93" s="587"/>
      <c r="I93" s="587"/>
      <c r="J93" s="587"/>
      <c r="K93" s="587"/>
      <c r="L93" s="587"/>
      <c r="M93" s="587"/>
      <c r="N93" s="587"/>
      <c r="O93" s="587"/>
      <c r="P93" s="587"/>
      <c r="Q93" s="587"/>
      <c r="R93" s="601"/>
      <c r="AQ93" s="417"/>
      <c r="BB93" s="417"/>
      <c r="BM93" s="418"/>
    </row>
    <row r="94" ht="38.25" customHeight="1">
      <c r="A94" s="587"/>
      <c r="B94" s="587"/>
      <c r="C94" s="587"/>
      <c r="D94" s="587"/>
      <c r="E94" s="587"/>
      <c r="F94" s="587"/>
      <c r="G94" s="587"/>
      <c r="H94" s="587"/>
      <c r="I94" s="587"/>
      <c r="J94" s="587"/>
      <c r="K94" s="587"/>
      <c r="L94" s="587"/>
      <c r="M94" s="587"/>
      <c r="N94" s="587"/>
      <c r="O94" s="587"/>
      <c r="P94" s="587"/>
      <c r="Q94" s="587"/>
      <c r="R94" s="601"/>
      <c r="AQ94" s="417"/>
      <c r="BB94" s="417"/>
      <c r="BM94" s="418"/>
    </row>
    <row r="95" ht="38.25" customHeight="1">
      <c r="A95" s="587"/>
      <c r="B95" s="587"/>
      <c r="C95" s="587"/>
      <c r="D95" s="587"/>
      <c r="E95" s="587"/>
      <c r="F95" s="587"/>
      <c r="G95" s="587"/>
      <c r="H95" s="587"/>
      <c r="I95" s="587"/>
      <c r="J95" s="587"/>
      <c r="K95" s="587"/>
      <c r="L95" s="587"/>
      <c r="M95" s="587"/>
      <c r="N95" s="587"/>
      <c r="O95" s="587"/>
      <c r="P95" s="587"/>
      <c r="Q95" s="587"/>
      <c r="R95" s="601"/>
      <c r="AQ95" s="417"/>
      <c r="BB95" s="417"/>
      <c r="BM95" s="418"/>
    </row>
    <row r="96" ht="38.25" customHeight="1">
      <c r="A96" s="587"/>
      <c r="B96" s="587"/>
      <c r="C96" s="587"/>
      <c r="D96" s="587"/>
      <c r="E96" s="587"/>
      <c r="F96" s="587"/>
      <c r="G96" s="587"/>
      <c r="H96" s="587"/>
      <c r="I96" s="587"/>
      <c r="J96" s="587"/>
      <c r="K96" s="587"/>
      <c r="L96" s="587"/>
      <c r="M96" s="587"/>
      <c r="N96" s="587"/>
      <c r="O96" s="587"/>
      <c r="P96" s="587"/>
      <c r="Q96" s="587"/>
      <c r="R96" s="601"/>
      <c r="AQ96" s="417"/>
      <c r="BB96" s="417"/>
      <c r="BM96" s="418"/>
    </row>
    <row r="97" ht="39" customHeight="1">
      <c r="A97" s="587"/>
      <c r="B97" s="587"/>
      <c r="C97" s="587"/>
      <c r="D97" s="587"/>
      <c r="E97" s="587"/>
      <c r="F97" s="587"/>
      <c r="G97" s="587"/>
      <c r="H97" s="587"/>
      <c r="I97" s="587"/>
      <c r="J97" s="587"/>
      <c r="K97" s="587"/>
      <c r="L97" s="587"/>
      <c r="M97" s="587"/>
      <c r="N97" s="587"/>
      <c r="O97" s="587"/>
      <c r="P97" s="587"/>
      <c r="Q97" s="587"/>
      <c r="R97" s="601"/>
      <c r="AQ97" s="417"/>
      <c r="BB97" s="417"/>
      <c r="BM97" s="418"/>
    </row>
    <row r="98" ht="39" customHeight="1">
      <c r="A98" s="587" t="s">
        <v>216</v>
      </c>
      <c r="B98" s="587"/>
      <c r="C98" s="587"/>
      <c r="D98" s="587"/>
      <c r="E98" s="587"/>
      <c r="F98" s="587"/>
      <c r="G98" s="587"/>
      <c r="H98" s="587"/>
      <c r="I98" s="587"/>
      <c r="J98" s="587"/>
      <c r="K98" s="587"/>
      <c r="L98" s="587"/>
      <c r="M98" s="587"/>
      <c r="N98" s="587"/>
      <c r="O98" s="587"/>
      <c r="P98" s="587"/>
      <c r="Q98" s="587"/>
      <c r="R98" s="601"/>
      <c r="AR98" s="417"/>
      <c r="BN98" s="418"/>
    </row>
    <row r="99" ht="39" customHeight="1">
      <c r="A99" s="587"/>
      <c r="B99" s="587"/>
      <c r="C99" s="587"/>
      <c r="D99" s="587"/>
      <c r="E99" s="587"/>
      <c r="F99" s="587"/>
      <c r="G99" s="587"/>
      <c r="H99" s="587"/>
      <c r="I99" s="587"/>
      <c r="J99" s="587"/>
      <c r="K99" s="587"/>
      <c r="L99" s="587"/>
      <c r="M99" s="587"/>
      <c r="N99" s="587"/>
      <c r="O99" s="587"/>
      <c r="P99" s="587"/>
      <c r="Q99" s="587"/>
      <c r="R99" s="601"/>
      <c r="AR99" s="417"/>
      <c r="BN99" s="418"/>
    </row>
    <row r="100" ht="39" customHeight="1">
      <c r="A100" s="587"/>
      <c r="B100" s="587"/>
      <c r="C100" s="587"/>
      <c r="D100" s="587"/>
      <c r="E100" s="587"/>
      <c r="F100" s="587"/>
      <c r="G100" s="587"/>
      <c r="H100" s="587"/>
      <c r="I100" s="587"/>
      <c r="J100" s="587"/>
      <c r="K100" s="587"/>
      <c r="L100" s="587"/>
      <c r="M100" s="587"/>
      <c r="N100" s="587"/>
      <c r="O100" s="587"/>
      <c r="P100" s="587"/>
      <c r="Q100" s="587"/>
      <c r="R100" s="601"/>
      <c r="AR100" s="417"/>
      <c r="BN100" s="418"/>
    </row>
    <row r="101" ht="39" customHeight="1">
      <c r="A101" s="587"/>
      <c r="B101" s="587"/>
      <c r="C101" s="587"/>
      <c r="D101" s="587"/>
      <c r="E101" s="587"/>
      <c r="F101" s="587"/>
      <c r="G101" s="587"/>
      <c r="H101" s="587"/>
      <c r="I101" s="587"/>
      <c r="J101" s="587"/>
      <c r="K101" s="587"/>
      <c r="L101" s="587"/>
      <c r="M101" s="587"/>
      <c r="N101" s="587"/>
      <c r="O101" s="587"/>
      <c r="P101" s="587"/>
      <c r="Q101" s="587"/>
      <c r="R101" s="601"/>
      <c r="AR101" s="417"/>
      <c r="BN101" s="418"/>
    </row>
    <row r="102" ht="39" customHeight="1">
      <c r="A102" s="587"/>
      <c r="B102" s="587"/>
      <c r="C102" s="587"/>
      <c r="D102" s="587"/>
      <c r="E102" s="587"/>
      <c r="F102" s="587"/>
      <c r="G102" s="587"/>
      <c r="H102" s="587"/>
      <c r="I102" s="587"/>
      <c r="J102" s="587"/>
      <c r="K102" s="587"/>
      <c r="L102" s="587"/>
      <c r="M102" s="587"/>
      <c r="N102" s="587"/>
      <c r="O102" s="587"/>
      <c r="P102" s="587"/>
      <c r="Q102" s="587"/>
      <c r="R102" s="601"/>
      <c r="AR102" s="417"/>
      <c r="BN102" s="418"/>
    </row>
    <row r="103" ht="39" customHeight="1">
      <c r="A103" s="587"/>
      <c r="B103" s="587"/>
      <c r="C103" s="587"/>
      <c r="D103" s="587"/>
      <c r="E103" s="587"/>
      <c r="F103" s="587"/>
      <c r="G103" s="587"/>
      <c r="H103" s="587"/>
      <c r="I103" s="587"/>
      <c r="J103" s="587"/>
      <c r="K103" s="587"/>
      <c r="L103" s="587"/>
      <c r="M103" s="587"/>
      <c r="N103" s="587"/>
      <c r="O103" s="587"/>
      <c r="P103" s="587"/>
      <c r="Q103" s="587"/>
      <c r="R103" s="601"/>
      <c r="AR103" s="417"/>
      <c r="BN103" s="418"/>
    </row>
    <row r="104" ht="39" customHeight="1">
      <c r="A104" s="587"/>
      <c r="B104" s="587"/>
      <c r="C104" s="587"/>
      <c r="D104" s="587"/>
      <c r="E104" s="587"/>
      <c r="F104" s="587"/>
      <c r="G104" s="587"/>
      <c r="H104" s="587"/>
      <c r="I104" s="587"/>
      <c r="J104" s="587"/>
      <c r="K104" s="587"/>
      <c r="L104" s="587"/>
      <c r="M104" s="587"/>
      <c r="N104" s="587"/>
      <c r="O104" s="587"/>
      <c r="P104" s="587"/>
      <c r="Q104" s="587"/>
      <c r="R104" s="601"/>
      <c r="AR104" s="417"/>
      <c r="BN104" s="418"/>
    </row>
    <row r="105" ht="39" customHeight="1">
      <c r="A105" s="587"/>
      <c r="B105" s="587"/>
      <c r="C105" s="587"/>
      <c r="D105" s="587"/>
      <c r="E105" s="587"/>
      <c r="F105" s="587"/>
      <c r="G105" s="587"/>
      <c r="H105" s="587"/>
      <c r="I105" s="587"/>
      <c r="J105" s="587"/>
      <c r="K105" s="587"/>
      <c r="L105" s="587"/>
      <c r="M105" s="587"/>
      <c r="N105" s="587"/>
      <c r="O105" s="587"/>
      <c r="P105" s="587"/>
      <c r="Q105" s="587"/>
      <c r="R105" s="601"/>
      <c r="AR105" s="417"/>
      <c r="BN105" s="418"/>
    </row>
    <row r="106" ht="39" customHeight="1">
      <c r="A106" s="587"/>
      <c r="B106" s="587"/>
      <c r="C106" s="587"/>
      <c r="D106" s="587"/>
      <c r="E106" s="587"/>
      <c r="F106" s="587"/>
      <c r="G106" s="587"/>
      <c r="H106" s="587"/>
      <c r="I106" s="587"/>
      <c r="J106" s="587"/>
      <c r="K106" s="587"/>
      <c r="L106" s="587"/>
      <c r="M106" s="587"/>
      <c r="N106" s="587"/>
      <c r="O106" s="587"/>
      <c r="P106" s="587"/>
      <c r="Q106" s="587"/>
      <c r="R106" s="601"/>
      <c r="AR106" s="417"/>
      <c r="BN106" s="418"/>
    </row>
    <row r="107" ht="39" customHeight="1">
      <c r="A107" s="587"/>
      <c r="B107" s="587"/>
      <c r="C107" s="587"/>
      <c r="D107" s="587"/>
      <c r="E107" s="587"/>
      <c r="F107" s="587"/>
      <c r="G107" s="587"/>
      <c r="H107" s="587"/>
      <c r="I107" s="587"/>
      <c r="J107" s="587"/>
      <c r="K107" s="587"/>
      <c r="L107" s="587"/>
      <c r="M107" s="587"/>
      <c r="N107" s="587"/>
      <c r="O107" s="587"/>
      <c r="P107" s="587"/>
      <c r="Q107" s="587"/>
      <c r="R107" s="601"/>
      <c r="AR107" s="417"/>
      <c r="BN107" s="418"/>
    </row>
    <row r="108" ht="39" customHeight="1">
      <c r="A108" s="587"/>
      <c r="B108" s="587"/>
      <c r="C108" s="587"/>
      <c r="D108" s="587"/>
      <c r="E108" s="587"/>
      <c r="F108" s="587"/>
      <c r="G108" s="587"/>
      <c r="H108" s="587"/>
      <c r="I108" s="587"/>
      <c r="J108" s="587"/>
      <c r="K108" s="587"/>
      <c r="L108" s="587"/>
      <c r="M108" s="587"/>
      <c r="N108" s="587"/>
      <c r="O108" s="587"/>
      <c r="P108" s="587"/>
      <c r="Q108" s="587"/>
      <c r="R108" s="601"/>
      <c r="AR108" s="417"/>
      <c r="BN108" s="418"/>
    </row>
    <row r="109" ht="39" customHeight="1">
      <c r="A109" s="587"/>
      <c r="B109" s="587"/>
      <c r="C109" s="587"/>
      <c r="D109" s="587"/>
      <c r="E109" s="587"/>
      <c r="F109" s="587"/>
      <c r="G109" s="587"/>
      <c r="H109" s="587"/>
      <c r="I109" s="587"/>
      <c r="J109" s="587"/>
      <c r="K109" s="587"/>
      <c r="L109" s="587"/>
      <c r="M109" s="587"/>
      <c r="N109" s="587"/>
      <c r="O109" s="587"/>
      <c r="P109" s="587"/>
      <c r="Q109" s="587"/>
      <c r="R109" s="601"/>
      <c r="AR109" s="417"/>
      <c r="BN109" s="418"/>
    </row>
    <row r="110" ht="39" customHeight="1">
      <c r="A110" s="587"/>
      <c r="B110" s="587"/>
      <c r="C110" s="587"/>
      <c r="D110" s="587"/>
      <c r="E110" s="587"/>
      <c r="F110" s="587"/>
      <c r="G110" s="587"/>
      <c r="H110" s="587"/>
      <c r="I110" s="587"/>
      <c r="J110" s="587"/>
      <c r="K110" s="587"/>
      <c r="L110" s="587"/>
      <c r="M110" s="587"/>
      <c r="N110" s="587"/>
      <c r="O110" s="587"/>
      <c r="P110" s="587"/>
      <c r="Q110" s="587"/>
      <c r="R110" s="601"/>
      <c r="AR110" s="417"/>
      <c r="BN110" s="418"/>
    </row>
    <row r="111" ht="39" customHeight="1">
      <c r="A111" s="587"/>
      <c r="B111" s="587"/>
      <c r="C111" s="587"/>
      <c r="D111" s="587"/>
      <c r="E111" s="587"/>
      <c r="F111" s="587"/>
      <c r="G111" s="587"/>
      <c r="H111" s="587"/>
      <c r="I111" s="587"/>
      <c r="J111" s="587"/>
      <c r="K111" s="587"/>
      <c r="L111" s="587"/>
      <c r="M111" s="587"/>
      <c r="N111" s="587"/>
      <c r="O111" s="587"/>
      <c r="P111" s="587"/>
      <c r="Q111" s="587"/>
      <c r="R111" s="601"/>
      <c r="AR111" s="417"/>
      <c r="BN111" s="418"/>
    </row>
    <row r="112" ht="39" customHeight="1">
      <c r="A112" s="587"/>
      <c r="B112" s="587"/>
      <c r="C112" s="587"/>
      <c r="D112" s="587"/>
      <c r="E112" s="587"/>
      <c r="F112" s="587"/>
      <c r="G112" s="587"/>
      <c r="H112" s="587"/>
      <c r="I112" s="587"/>
      <c r="J112" s="587"/>
      <c r="K112" s="587"/>
      <c r="L112" s="587"/>
      <c r="M112" s="587"/>
      <c r="N112" s="587"/>
      <c r="O112" s="587"/>
      <c r="P112" s="587"/>
      <c r="Q112" s="587"/>
      <c r="R112" s="601"/>
      <c r="AR112" s="417"/>
      <c r="BN112" s="418"/>
    </row>
    <row r="113" ht="39" customHeight="1">
      <c r="A113" s="587"/>
      <c r="B113" s="587"/>
      <c r="C113" s="587"/>
      <c r="D113" s="587"/>
      <c r="E113" s="587"/>
      <c r="F113" s="587"/>
      <c r="G113" s="587"/>
      <c r="H113" s="587"/>
      <c r="I113" s="587"/>
      <c r="J113" s="587"/>
      <c r="K113" s="587"/>
      <c r="L113" s="587"/>
      <c r="M113" s="587"/>
      <c r="N113" s="587"/>
      <c r="O113" s="587"/>
      <c r="P113" s="587"/>
      <c r="Q113" s="587"/>
      <c r="R113" s="601"/>
      <c r="AR113" s="417"/>
      <c r="BN113" s="418"/>
    </row>
    <row r="114" ht="39" customHeight="1">
      <c r="A114" s="587"/>
      <c r="B114" s="587"/>
      <c r="C114" s="587"/>
      <c r="D114" s="587"/>
      <c r="E114" s="587"/>
      <c r="F114" s="587"/>
      <c r="G114" s="587"/>
      <c r="H114" s="587"/>
      <c r="I114" s="587"/>
      <c r="J114" s="587"/>
      <c r="K114" s="587"/>
      <c r="L114" s="587"/>
      <c r="M114" s="587"/>
      <c r="N114" s="587"/>
      <c r="O114" s="587"/>
      <c r="P114" s="587"/>
      <c r="Q114" s="587"/>
      <c r="R114" s="601"/>
      <c r="AR114" s="417"/>
      <c r="BN114" s="418"/>
    </row>
    <row r="115" ht="39" customHeight="1">
      <c r="A115" s="587"/>
      <c r="B115" s="587"/>
      <c r="C115" s="587"/>
      <c r="D115" s="587"/>
      <c r="E115" s="587"/>
      <c r="F115" s="587"/>
      <c r="G115" s="587"/>
      <c r="H115" s="587"/>
      <c r="I115" s="587"/>
      <c r="J115" s="587"/>
      <c r="K115" s="587"/>
      <c r="L115" s="587"/>
      <c r="M115" s="587"/>
      <c r="N115" s="587"/>
      <c r="O115" s="587"/>
      <c r="P115" s="587"/>
      <c r="Q115" s="587"/>
      <c r="R115" s="601"/>
      <c r="AR115" s="417"/>
      <c r="BN115" s="418"/>
    </row>
    <row r="116">
      <c r="AR116" s="417"/>
      <c r="BN116" s="418"/>
    </row>
    <row r="117">
      <c r="AR117" s="417"/>
      <c r="BN117" s="418"/>
    </row>
    <row r="118">
      <c r="AR118" s="417"/>
      <c r="BN118" s="418"/>
    </row>
    <row r="119">
      <c r="AR119" s="417"/>
      <c r="BN119" s="418"/>
    </row>
    <row r="120">
      <c r="AR120" s="417"/>
      <c r="BN120" s="418"/>
    </row>
    <row r="121">
      <c r="AR121" s="417"/>
      <c r="BN121" s="418"/>
    </row>
    <row r="122">
      <c r="AR122" s="417"/>
      <c r="BN122" s="418"/>
    </row>
    <row r="123">
      <c r="AR123" s="417"/>
      <c r="BN123" s="418"/>
    </row>
    <row r="124">
      <c r="AR124" s="417"/>
      <c r="BN124" s="418"/>
    </row>
    <row r="125">
      <c r="AR125" s="417"/>
      <c r="BN125" s="418"/>
    </row>
    <row r="126">
      <c r="AR126" s="417"/>
      <c r="BN126" s="418"/>
    </row>
    <row r="127">
      <c r="AR127" s="417"/>
      <c r="BN127" s="418"/>
    </row>
    <row r="128">
      <c r="AR128" s="417"/>
      <c r="BN128" s="418"/>
    </row>
    <row r="129">
      <c r="AR129" s="417"/>
      <c r="BN129" s="418"/>
    </row>
    <row r="130">
      <c r="AR130" s="417"/>
      <c r="BN130" s="418"/>
    </row>
    <row r="131">
      <c r="AR131" s="417"/>
      <c r="BN131" s="418"/>
    </row>
    <row r="132">
      <c r="AR132" s="417"/>
      <c r="BN132" s="418"/>
    </row>
    <row r="133">
      <c r="AR133" s="417"/>
      <c r="BN133" s="418"/>
    </row>
    <row r="134">
      <c r="AR134" s="417"/>
      <c r="BN134" s="418"/>
    </row>
    <row r="135">
      <c r="AR135" s="417"/>
      <c r="BN135" s="418"/>
    </row>
    <row r="136">
      <c r="AR136" s="417"/>
      <c r="BN136" s="418"/>
    </row>
    <row r="137">
      <c r="AR137" s="417"/>
      <c r="BN137" s="418"/>
    </row>
    <row r="138">
      <c r="AR138" s="417"/>
      <c r="BN138" s="418"/>
    </row>
    <row r="139">
      <c r="AR139" s="417"/>
      <c r="BN139" s="418"/>
    </row>
    <row r="140">
      <c r="AR140" s="417"/>
      <c r="BN140" s="418"/>
    </row>
    <row r="141">
      <c r="AR141" s="417"/>
      <c r="BN141" s="418"/>
    </row>
    <row r="142">
      <c r="AR142" s="417"/>
      <c r="BN142" s="418"/>
    </row>
    <row r="143">
      <c r="AR143" s="417"/>
      <c r="BN143" s="418"/>
    </row>
    <row r="144">
      <c r="AR144" s="417"/>
      <c r="BN144" s="418"/>
    </row>
    <row r="145">
      <c r="AR145" s="417"/>
      <c r="BN145" s="418"/>
    </row>
    <row r="146">
      <c r="AR146" s="417"/>
      <c r="BN146" s="418"/>
    </row>
    <row r="147">
      <c r="AR147" s="417"/>
      <c r="BN147" s="418"/>
    </row>
    <row r="148">
      <c r="AR148" s="417"/>
      <c r="BN148" s="418"/>
    </row>
    <row r="149">
      <c r="AR149" s="417"/>
      <c r="BN149" s="418"/>
    </row>
    <row r="150">
      <c r="AR150" s="417"/>
      <c r="BN150" s="418"/>
    </row>
    <row r="151">
      <c r="AR151" s="417"/>
      <c r="BN151" s="418"/>
    </row>
    <row r="152">
      <c r="AR152" s="417"/>
      <c r="BN152" s="418"/>
    </row>
    <row r="153">
      <c r="AR153" s="417"/>
      <c r="BN153" s="418"/>
    </row>
    <row r="154">
      <c r="AR154" s="417"/>
      <c r="BN154" s="418"/>
    </row>
    <row r="155">
      <c r="AR155" s="417"/>
      <c r="BN155" s="418"/>
    </row>
    <row r="156">
      <c r="AR156" s="417"/>
      <c r="BN156" s="418"/>
    </row>
    <row r="157">
      <c r="AR157" s="417"/>
      <c r="BN157" s="418"/>
    </row>
    <row r="158">
      <c r="AR158" s="417"/>
      <c r="BN158" s="418"/>
    </row>
    <row r="159">
      <c r="AR159" s="417"/>
      <c r="BN159" s="418"/>
    </row>
    <row r="160">
      <c r="AR160" s="417"/>
      <c r="BN160" s="418"/>
    </row>
    <row r="161">
      <c r="AR161" s="417"/>
      <c r="BN161" s="418"/>
    </row>
    <row r="162">
      <c r="AR162" s="417"/>
      <c r="BN162" s="418"/>
    </row>
    <row r="163">
      <c r="AR163" s="417"/>
      <c r="BN163" s="418"/>
    </row>
    <row r="164">
      <c r="AR164" s="417"/>
      <c r="BN164" s="418"/>
    </row>
    <row r="165">
      <c r="AR165" s="417"/>
      <c r="BN165" s="418"/>
    </row>
    <row r="166">
      <c r="AR166" s="417"/>
      <c r="BN166" s="418"/>
    </row>
    <row r="167">
      <c r="AR167" s="417"/>
      <c r="BN167" s="418"/>
    </row>
    <row r="168">
      <c r="AR168" s="417"/>
      <c r="BN168" s="418"/>
    </row>
    <row r="169">
      <c r="AR169" s="417"/>
      <c r="BN169" s="418"/>
    </row>
    <row r="170">
      <c r="AR170" s="417"/>
      <c r="BN170" s="418"/>
    </row>
    <row r="171">
      <c r="AR171" s="417"/>
      <c r="BN171" s="418"/>
    </row>
    <row r="172">
      <c r="AR172" s="417"/>
      <c r="BN172" s="418"/>
    </row>
    <row r="173">
      <c r="AR173" s="417"/>
      <c r="BN173" s="418"/>
    </row>
    <row r="174">
      <c r="AR174" s="417"/>
      <c r="BN174" s="418"/>
    </row>
    <row r="175">
      <c r="AR175" s="417"/>
      <c r="BN175" s="418"/>
    </row>
    <row r="176">
      <c r="AR176" s="417"/>
      <c r="BN176" s="418"/>
    </row>
    <row r="177">
      <c r="AR177" s="417"/>
      <c r="BN177" s="418"/>
    </row>
    <row r="178">
      <c r="AR178" s="417"/>
      <c r="BN178" s="418"/>
    </row>
    <row r="179">
      <c r="AR179" s="417"/>
      <c r="BN179" s="418"/>
    </row>
    <row r="180">
      <c r="AR180" s="417"/>
      <c r="BN180" s="418"/>
    </row>
    <row r="181">
      <c r="AR181" s="417"/>
      <c r="BN181" s="418"/>
    </row>
    <row r="182">
      <c r="AR182" s="417"/>
      <c r="BN182" s="418"/>
    </row>
    <row r="183">
      <c r="AR183" s="417"/>
      <c r="BN183" s="418"/>
    </row>
    <row r="184">
      <c r="AR184" s="417"/>
      <c r="BN184" s="418"/>
    </row>
    <row r="185">
      <c r="AR185" s="417"/>
      <c r="BN185" s="418"/>
    </row>
    <row r="186">
      <c r="AR186" s="417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E808733B-D012-4E11-9B5C-ACDB30D3FE62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25008F33-E11A-456F-9F0F-3F3777AC9E43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A1468B93-FE74-48EF-8799-FFF3D6534F7A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E222EC7-9DBF-45A5-A13C-CADB109B4933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35387C9B-DA55-4495-AC8D-852C2C7EDE14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8E112E5F-68CF-4B2C-83AF-EC94887EB383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B16D8CAA-4FA1-4B90-93E8-645EBDBD0296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651E19BC-DE74-4C30-BEEA-F57FC8241A19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E7F66583-609B-4C2D-87FC-5243D48FF6A9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763725BF-33B1-42F6-A101-AEA4A38312BF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BA770940-B062-48DE-B52E-B39B4A0C721E}">
          <x14:formula1>
            <xm:f>wavy2!$A$19:$A$20</xm:f>
          </x14:formula1>
          <xm:sqref>BE9</xm:sqref>
        </x14:dataValidation>
        <x14:dataValidation type="list" allowBlank="1" showInputMessage="1" showErrorMessage="1" xr:uid="{45262FF9-854E-43E6-93F3-E3208EBABE41}">
          <x14:formula1>
            <xm:f>wavy1!$A$19:$A$20</xm:f>
          </x14:formula1>
          <xm:sqref>AT9</xm:sqref>
        </x14:dataValidation>
        <x14:dataValidation type="list" allowBlank="1" showInputMessage="1" showErrorMessage="1" xr:uid="{07E599AD-36A5-440A-882B-E37BA38BDDF5}">
          <x14:formula1>
            <xm:f>Sheet2!$B$5:$B$7</xm:f>
          </x14:formula1>
          <xm:sqref>T25 T46 T64</xm:sqref>
        </x14:dataValidation>
        <x14:dataValidation type="list" allowBlank="1" showInputMessage="1" showErrorMessage="1" xr:uid="{37AF91D5-A724-4569-AA6A-C09A9D33CB32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AF5F2974-8ABD-40B7-B758-6E39E8CC5735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9C518B5B-4B62-419B-9F5E-E9B3A9969C17}">
          <x14:formula1>
            <xm:f>Sheet2!$C$5:$C$6</xm:f>
          </x14:formula1>
          <xm:sqref>T26</xm:sqref>
        </x14:dataValidation>
        <x14:dataValidation type="list" allowBlank="1" showInputMessage="1" showErrorMessage="1" xr:uid="{EE292C9E-A57A-4C1D-BC19-0052B818E169}">
          <x14:formula1>
            <xm:f>Sheet2!$A$5</xm:f>
          </x14:formula1>
          <xm:sqref>U31</xm:sqref>
        </x14:dataValidation>
        <x14:dataValidation type="list" allowBlank="1" showInputMessage="1" showErrorMessage="1" xr:uid="{018CCBCC-956C-40BF-A2AD-AE5811184CEC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D163C899-B430-4F4E-AA5D-EAD05036C12A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E0425770-34D2-4241-99DC-C9C7C5EEBC21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3991469F-43C1-4E3D-9273-D876B2F4A8FF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EED9DEA7-40AE-4C6A-B0D5-A735DC63F69C}">
          <x14:formula1>
            <xm:f>Sheet2!$D$5:$D$6</xm:f>
          </x14:formula1>
          <xm:sqref>T32 T53 T71</xm:sqref>
        </x14:dataValidation>
        <x14:dataValidation type="list" allowBlank="1" showInputMessage="1" showErrorMessage="1" xr:uid="{8CB66D3C-35F9-4177-BAFA-4FD8DA5D5DD4}">
          <x14:formula1>
            <xm:f>Sheet2!$A$6</xm:f>
          </x14:formula1>
          <xm:sqref>AC36</xm:sqref>
        </x14:dataValidation>
        <x14:dataValidation type="list" allowBlank="1" showInputMessage="1" showErrorMessage="1" xr:uid="{174EE134-DBB5-4C3B-A80D-07784829ACBE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252</v>
      </c>
      <c r="B1" s="1" t="s">
        <v>253</v>
      </c>
      <c r="C1" s="1" t="s">
        <v>254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800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255</v>
      </c>
      <c r="C6" s="1">
        <f>IF(Format!N8=1,'Format διαστασης οδηγου'!B2-32,IF(Format!N8=2,'Format διαστασης οδηγου'!B2-43,"-------"))</f>
        <v>768</v>
      </c>
      <c r="K6" s="8"/>
    </row>
    <row r="7">
      <c r="A7" s="4" t="s">
        <v>256</v>
      </c>
      <c r="C7" s="1">
        <f>IF(Format!N8=1,'Format διαστασης οδηγου'!B2-35,IF(Format!N8=3,'Format διαστασης οδηγου'!B2-36,IF(Format!N8=4,'Format διαστασης οδηγου'!B2-32,"-------")))</f>
        <v>765</v>
      </c>
      <c r="H7" s="788" t="s">
        <v>257</v>
      </c>
      <c r="I7" s="788"/>
      <c r="J7" s="788"/>
      <c r="K7" s="789"/>
    </row>
    <row r="8">
      <c r="A8" s="4" t="s">
        <v>258</v>
      </c>
      <c r="C8" s="1">
        <f>IF(Format!N8=1,'Format διαστασης οδηγου'!B2-32,"-------")</f>
        <v>768</v>
      </c>
      <c r="F8" s="1">
        <f>IF(Format!A7=1,C6,IF(Format!A7=2,C7,IF(Format!A7=3,C8,IF(Format!A7=4,C9,IF(Format!A7=5,C10)))))</f>
        <v>765</v>
      </c>
      <c r="H8" s="788"/>
      <c r="I8" s="788"/>
      <c r="J8" s="788"/>
      <c r="K8" s="789"/>
    </row>
    <row r="9">
      <c r="A9" s="4" t="s">
        <v>259</v>
      </c>
      <c r="C9" s="1" t="str">
        <f>IF(Format!N8=5,'Format διαστασης οδηγου'!B2-35,IF(Format!N8=6,'Format διαστασης οδηγου'!B2-31,"-------"))</f>
        <v>-------</v>
      </c>
      <c r="H9" s="788"/>
      <c r="I9" s="788"/>
      <c r="J9" s="788"/>
      <c r="K9" s="789"/>
    </row>
    <row r="10">
      <c r="A10" s="4" t="s">
        <v>260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255</v>
      </c>
      <c r="C14" s="1">
        <f>IF(Format!N8=1,B2,IF(Format!N8=2,'Format διαστασης οδηγου'!B2-11,"-------"))</f>
        <v>800</v>
      </c>
      <c r="K14" s="8"/>
    </row>
    <row r="15">
      <c r="A15" s="4" t="s">
        <v>256</v>
      </c>
      <c r="C15" s="1">
        <f>IF(Format!N8=3,'Format διαστασης οδηγου'!B2-5,IF(Format!N8=1,'Format διαστασης οδηγου'!B2,IF(Format!N8=4,'Format διαστασης οδηγου'!B2,"-------")))</f>
        <v>800</v>
      </c>
      <c r="H15" s="788" t="s">
        <v>261</v>
      </c>
      <c r="I15" s="788"/>
      <c r="J15" s="788"/>
      <c r="K15" s="789"/>
    </row>
    <row r="16">
      <c r="A16" s="4" t="s">
        <v>258</v>
      </c>
      <c r="C16" s="1">
        <f>IF(Format!N8=1,'Format διαστασης οδηγου'!B2,"-------")</f>
        <v>800</v>
      </c>
      <c r="F16" s="1">
        <f>IF(Format!A7=1,C14,IF(Format!A7=2,C15,IF(Format!A7=3,C16,IF(Format!A7=4,C17,IF(Format!A7=5,C118)))))</f>
        <v>800</v>
      </c>
      <c r="H16" s="788"/>
      <c r="I16" s="788"/>
      <c r="J16" s="788"/>
      <c r="K16" s="789"/>
    </row>
    <row r="17">
      <c r="A17" s="4" t="s">
        <v>259</v>
      </c>
      <c r="C17" s="1" t="str">
        <f>IF(Format!N8=5,'Format διαστασης οδηγου'!B2-6,IF(Format!N8=6,'Format διαστασης οδηγου'!B2-2,"-------"))</f>
        <v>-------</v>
      </c>
      <c r="H17" s="788"/>
      <c r="I17" s="788"/>
      <c r="J17" s="788"/>
      <c r="K17" s="789"/>
    </row>
    <row r="18">
      <c r="A18" s="4" t="s">
        <v>260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zoomScale="55" zoomScaleNormal="90" zoomScaleSheetLayoutView="55" zoomScalePageLayoutView="90" workbookViewId="0">
      <selection activeCell="Y14" sqref="Y14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72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7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23" t="s">
        <v>0</v>
      </c>
      <c r="B1" s="624"/>
      <c r="C1" s="625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3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6"/>
      <c r="B2" s="627"/>
      <c r="C2" s="628"/>
      <c r="D2" s="203"/>
      <c r="E2" s="204"/>
      <c r="F2" s="228">
        <f>D2*E2</f>
        <v>0</v>
      </c>
      <c r="G2" s="229" t="e">
        <f>G80/F2</f>
        <v>#DIV/0!</v>
      </c>
      <c r="H2" s="230">
        <f>Sheet2!B12</f>
        <v>75000</v>
      </c>
      <c r="I2" s="231">
        <f>Sheet2!B13</f>
        <v>75000</v>
      </c>
      <c r="J2" s="232">
        <f>Sheet2!B14</f>
        <v>230000</v>
      </c>
      <c r="K2" s="232">
        <f>Sheet2!B15</f>
        <v>50000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0" t="s">
        <v>17</v>
      </c>
      <c r="B3" s="631"/>
      <c r="C3" s="408"/>
      <c r="F3" s="234" t="s">
        <v>18</v>
      </c>
      <c r="G3" s="632">
        <f>NOW()</f>
        <v>45327.437373182867</v>
      </c>
      <c r="H3" s="633"/>
      <c r="I3" s="633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100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9" t="s">
        <v>20</v>
      </c>
      <c r="E4" s="629"/>
      <c r="F4" s="629"/>
      <c r="G4" s="629"/>
      <c r="H4" s="629"/>
      <c r="I4" s="629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8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5.76</v>
      </c>
      <c r="G6" s="242" t="s">
        <v>43</v>
      </c>
      <c r="H6" s="211">
        <v>8.5</v>
      </c>
      <c r="I6" s="211"/>
      <c r="J6" s="243">
        <f>H6*$H$2/1000</f>
        <v>637.5</v>
      </c>
      <c r="K6" s="240">
        <f>B6*J6</f>
        <v>5100</v>
      </c>
      <c r="L6" s="241">
        <f>(K6)/$G$79</f>
        <v>0.024338646290733245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7.3500000000000005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3.5</v>
      </c>
      <c r="C7" s="215" t="s">
        <v>47</v>
      </c>
      <c r="D7" s="402">
        <v>0.1</v>
      </c>
      <c r="E7" s="402">
        <v>0.1</v>
      </c>
      <c r="F7" s="216">
        <f>(Table1[[#This Row],[Column1]]+Table1[[#This Row],[Column2]])*12*Table1[[#This Row],[عدد]]</f>
        <v>8.4000000000000021</v>
      </c>
      <c r="G7" s="242" t="s">
        <v>43</v>
      </c>
      <c r="H7" s="211">
        <v>46.75</v>
      </c>
      <c r="I7" s="211"/>
      <c r="J7" s="243">
        <f>H7*$H$2/1000</f>
        <v>3506.25</v>
      </c>
      <c r="K7" s="240">
        <f>B7*J7</f>
        <v>12271.875</v>
      </c>
      <c r="L7" s="241">
        <f>(K7)/$G$79</f>
        <v>0.05856486763707687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9.38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1.5</v>
      </c>
      <c r="C8" s="215" t="s">
        <v>54</v>
      </c>
      <c r="D8" s="402">
        <v>0.15</v>
      </c>
      <c r="E8" s="402">
        <v>0.05</v>
      </c>
      <c r="F8" s="216">
        <f>(Table1[[#This Row],[Column1]]+Table1[[#This Row],[Column2]])*12*Table1[[#This Row],[عدد]]</f>
        <v>3.6000000000000005</v>
      </c>
      <c r="G8" s="211" t="s">
        <v>43</v>
      </c>
      <c r="H8" s="211">
        <v>56</v>
      </c>
      <c r="I8" s="211"/>
      <c r="J8" s="243">
        <f>H8*$H$2/1000</f>
        <v>4200</v>
      </c>
      <c r="K8" s="240">
        <f>B8*J8</f>
        <v>6300</v>
      </c>
      <c r="L8" s="241">
        <f>(K8)/$G$79</f>
        <v>0.030065386594435185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17.76</v>
      </c>
      <c r="G9" s="211"/>
      <c r="H9" s="211">
        <f>(H6*B6)+(H8*B8)+(H7*B7)</f>
        <v>315.625</v>
      </c>
      <c r="I9" s="211"/>
      <c r="J9" s="242"/>
      <c r="K9" s="240">
        <f>SUBTOTAL(109,Table1[اجمالي])</f>
        <v>23671.875</v>
      </c>
      <c r="L9" s="244">
        <f>Table1[[#Totals],[اجمالي]]/$G$79</f>
        <v>0.1129689005222453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29" t="s">
        <v>60</v>
      </c>
      <c r="E10" s="629"/>
      <c r="F10" s="629"/>
      <c r="G10" s="629"/>
      <c r="H10" s="629"/>
      <c r="I10" s="629"/>
      <c r="L10" s="413"/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15150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7575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</row>
    <row r="15" ht="21" customHeight="1" s="216" customFormat="1">
      <c r="C15" s="217"/>
      <c r="D15" s="629" t="s">
        <v>76</v>
      </c>
      <c r="E15" s="629"/>
      <c r="F15" s="629"/>
      <c r="G15" s="629"/>
      <c r="H15" s="629"/>
      <c r="I15" s="629"/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0.0038178268691346265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3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750</v>
      </c>
      <c r="L18" s="241">
        <f t="shared" si="3"/>
        <v>0.0035792126898137127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85</v>
      </c>
      <c r="K19" s="240">
        <f t="shared" si="2"/>
        <v>340</v>
      </c>
      <c r="L19" s="241">
        <f t="shared" si="3"/>
        <v>0.0016225764193822164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75</v>
      </c>
      <c r="K20" s="240">
        <f t="shared" si="2"/>
        <v>75</v>
      </c>
      <c r="L20" s="241">
        <f t="shared" si="3"/>
        <v>0.00035792126898137128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6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300</v>
      </c>
      <c r="L21" s="241">
        <f t="shared" si="3"/>
        <v>0.0014316850759254851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9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90</v>
      </c>
      <c r="L22" s="241">
        <f t="shared" si="3"/>
        <v>0.0004295055227776455</v>
      </c>
    </row>
    <row r="23" ht="21" customHeight="1" s="216" customFormat="1">
      <c r="A23" s="211">
        <v>7</v>
      </c>
      <c r="B23" s="212">
        <f>IF((Sheet2!H3="no"),0,(تسعير!AA10/100))</f>
        <v>5</v>
      </c>
      <c r="C23" s="215" t="s">
        <v>94</v>
      </c>
      <c r="D23" s="402"/>
      <c r="E23" s="402"/>
      <c r="F23" s="402"/>
      <c r="G23" s="248" t="s">
        <v>93</v>
      </c>
      <c r="H23" s="248"/>
      <c r="I23" s="248"/>
      <c r="J23" s="248">
        <f>Sheet2!B29</f>
        <v>1000</v>
      </c>
      <c r="K23" s="240">
        <f t="shared" si="2"/>
        <v>5000</v>
      </c>
      <c r="L23" s="241">
        <f t="shared" si="3"/>
        <v>0.023861417932091417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40</v>
      </c>
      <c r="C24" s="215" t="s">
        <v>95</v>
      </c>
      <c r="D24" s="402"/>
      <c r="E24" s="402"/>
      <c r="F24" s="402"/>
      <c r="G24" s="248" t="s">
        <v>96</v>
      </c>
      <c r="H24" s="248"/>
      <c r="I24" s="248"/>
      <c r="J24" s="248">
        <v>1</v>
      </c>
      <c r="K24" s="240">
        <f t="shared" si="2"/>
        <v>40</v>
      </c>
      <c r="L24" s="241">
        <f t="shared" si="3"/>
        <v>0.00019089134345673134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3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1000</v>
      </c>
      <c r="K25" s="240">
        <f t="shared" si="2"/>
        <v>3000</v>
      </c>
      <c r="L25" s="241">
        <f t="shared" si="3"/>
        <v>0.014316850759254851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2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300</v>
      </c>
      <c r="K26" s="240">
        <f t="shared" si="2"/>
        <v>600</v>
      </c>
      <c r="L26" s="241">
        <f t="shared" si="3"/>
        <v>0.0028633701518509702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10995</v>
      </c>
      <c r="L27" s="244">
        <f>Table15[[#Totals],[اجمالي]]/$G$79</f>
        <v>0.052471258032669027</v>
      </c>
    </row>
    <row r="28" ht="21" customHeight="1" s="216" customFormat="1">
      <c r="C28" s="217"/>
      <c r="D28" s="629" t="s">
        <v>99</v>
      </c>
      <c r="E28" s="629"/>
      <c r="F28" s="629"/>
      <c r="G28" s="629"/>
      <c r="H28" s="629"/>
      <c r="I28" s="629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1050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75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29" t="s">
        <v>102</v>
      </c>
      <c r="E33" s="629"/>
      <c r="F33" s="629"/>
      <c r="G33" s="629"/>
      <c r="H33" s="629"/>
      <c r="I33" s="629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0.00035792126898137128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0.00035792126898137128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0.00059653544830228541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0.0035792126898137127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0.00095445671728365664</v>
      </c>
    </row>
    <row r="40" ht="21" customHeight="1" s="216" customFormat="1">
      <c r="A40" s="211">
        <v>1</v>
      </c>
      <c r="B40" s="222">
        <f>Y7/3</f>
        <v>3.1266666666666669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325</v>
      </c>
      <c r="K40" s="240">
        <f t="shared" si="6"/>
        <v>1016.1666666666667</v>
      </c>
      <c r="L40" s="241">
        <f t="shared" si="7"/>
        <v>0.0048494355043987129</v>
      </c>
    </row>
    <row r="41" ht="21" customHeight="1" s="216" customFormat="1">
      <c r="A41" s="211">
        <v>7</v>
      </c>
      <c r="B41" s="222">
        <f>Y6/1.9</f>
        <v>3.8684210526315792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90</v>
      </c>
      <c r="K41" s="240">
        <f t="shared" si="6"/>
        <v>348.15789473684214</v>
      </c>
      <c r="L41" s="241">
        <f t="shared" si="7"/>
        <v>0.0016615082065345762</v>
      </c>
    </row>
    <row r="42" ht="21" customHeight="1" s="216" customFormat="1">
      <c r="A42" s="211">
        <v>8</v>
      </c>
      <c r="B42" s="222">
        <f>Y5</f>
        <v>13.400000000000002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210</v>
      </c>
      <c r="K42" s="240">
        <f t="shared" si="6"/>
        <v>2814.0000000000005</v>
      </c>
      <c r="L42" s="241">
        <f t="shared" si="7"/>
        <v>0.013429206012181052</v>
      </c>
    </row>
    <row r="43" ht="21" customHeight="1" s="216" customFormat="1">
      <c r="A43" s="211">
        <v>9</v>
      </c>
      <c r="B43" s="222">
        <f>Y8</f>
        <v>13.400000000000002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410</v>
      </c>
      <c r="K43" s="240">
        <f t="shared" si="6"/>
        <v>5494.0000000000009</v>
      </c>
      <c r="L43" s="241">
        <f t="shared" si="7"/>
        <v>0.026218926023782053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132</v>
      </c>
      <c r="D44" s="214"/>
      <c r="E44" s="214"/>
      <c r="F44" s="214"/>
      <c r="G44" s="211"/>
      <c r="H44" s="211"/>
      <c r="I44" s="211"/>
      <c r="J44" s="248">
        <v>20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350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450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10897.324561403511</v>
      </c>
      <c r="L49" s="244">
        <f>Table13[[#Totals],[اجمالي]]/$G$79</f>
        <v>0.0520051231402588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29" t="s">
        <v>119</v>
      </c>
      <c r="E51" s="629"/>
      <c r="F51" s="629"/>
      <c r="G51" s="629"/>
      <c r="H51" s="629"/>
      <c r="I51" s="629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4</v>
      </c>
      <c r="C53" s="214" t="s">
        <v>120</v>
      </c>
      <c r="D53" s="214"/>
      <c r="E53" s="214"/>
      <c r="F53" s="214"/>
      <c r="G53" s="409" t="s">
        <v>43</v>
      </c>
      <c r="H53" s="211">
        <v>1.75</v>
      </c>
      <c r="I53" s="247">
        <f>J2/1000</f>
        <v>230</v>
      </c>
      <c r="J53" s="414">
        <f>Table1610[[#This Row],[سعر الكيلو]]*Table1610[[#This Row],[الوزن]]</f>
        <v>402.5</v>
      </c>
      <c r="K53" s="240">
        <f>B53*J53</f>
        <v>1610</v>
      </c>
      <c r="L53" s="241">
        <f>(Table1610[[#This Row],[اجمالي]])/$G$79</f>
        <v>0.0076833765741334365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0.5</v>
      </c>
      <c r="C54" s="214" t="s">
        <v>121</v>
      </c>
      <c r="D54" s="214"/>
      <c r="E54" s="214"/>
      <c r="F54" s="214"/>
      <c r="G54" s="409" t="s">
        <v>122</v>
      </c>
      <c r="H54" s="211"/>
      <c r="I54" s="247"/>
      <c r="J54" s="414">
        <f>Sheet2!B32</f>
        <v>6500</v>
      </c>
      <c r="K54" s="240">
        <f>B54*J54</f>
        <v>3250</v>
      </c>
      <c r="L54" s="241">
        <f>(Table1610[[#This Row],[اجمالي]])/$G$79</f>
        <v>0.015509921655859422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410"/>
      <c r="H55" s="211"/>
      <c r="I55" s="247"/>
      <c r="J55" s="414"/>
      <c r="K55" s="240">
        <f>SUBTOTAL(109,Table1610[اجمالي])</f>
        <v>4860</v>
      </c>
      <c r="L55" s="244">
        <f>Table1610[[#Totals],[اجمالي]]/$G$79</f>
        <v>0.023193298229992859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29" t="s">
        <v>123</v>
      </c>
      <c r="E56" s="629"/>
      <c r="F56" s="629"/>
      <c r="G56" s="629"/>
      <c r="H56" s="629"/>
      <c r="I56" s="629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11" t="s">
        <v>125</v>
      </c>
      <c r="G57" s="216" t="s">
        <v>126</v>
      </c>
      <c r="H57" s="412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9">
        <f>'Cutting Ro-1'!$O$7</f>
        <v>2925.7747659743609</v>
      </c>
      <c r="I58" s="247"/>
      <c r="J58" s="414">
        <f>IF((Table1611[[#This Row],[عدد]]&gt;0),'Cutting Ro-1'!O8,0)</f>
        <v>117030.99063897444</v>
      </c>
      <c r="K58" s="240">
        <f>B58*Table1611[[#This Row],[سعر البرجولا كاملة]]</f>
        <v>117030.99063897444</v>
      </c>
      <c r="L58" s="241">
        <f>(K58)/$G$79</f>
        <v>0.55850507572864949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117030.99063897444</v>
      </c>
      <c r="K59" s="240">
        <f>B59*Table1611[[#This Row],[سعر البرجولا كاملة]]</f>
        <v>11703.099063897445</v>
      </c>
      <c r="L59" s="241">
        <f>(K59)/$G$79</f>
        <v>0.055850507572864957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128734.08970287189</v>
      </c>
      <c r="L60" s="244">
        <f>Table1611[[#Totals],[اجمالي]]/$G$79</f>
        <v>0.61435558330151452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29" t="s">
        <v>133</v>
      </c>
      <c r="E61" s="629"/>
      <c r="F61" s="629"/>
      <c r="G61" s="629"/>
      <c r="H61" s="629"/>
      <c r="I61" s="629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0.0038178268691346265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0.0028633701518509702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0.0057267403037019405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1.5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300</v>
      </c>
      <c r="K66" s="240">
        <f t="shared" si="9"/>
        <v>900</v>
      </c>
      <c r="L66" s="241">
        <f t="shared" si="10"/>
        <v>0.0042950552277764547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0.018611905987031305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0.013958929490273478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3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70" s="240">
        <f t="shared" si="9"/>
        <v>3900</v>
      </c>
      <c r="L70" s="241">
        <f t="shared" si="10"/>
        <v>0.018611905987031305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0.012598828668144269</v>
      </c>
    </row>
    <row r="72" ht="18.75">
      <c r="A72" s="211">
        <v>10</v>
      </c>
      <c r="B72" s="212">
        <f>((I67+I68+I69+I70)*2)-2</f>
        <v>16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4000</v>
      </c>
      <c r="L72" s="241">
        <f t="shared" si="10"/>
        <v>0.019089134345673133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0.014316850759254851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2300</v>
      </c>
      <c r="I74" s="247"/>
      <c r="J74" s="243">
        <f>Table1612[[#This Row],[Column12]]</f>
        <v>2300</v>
      </c>
      <c r="K74" s="240">
        <f t="shared" si="9"/>
        <v>4600</v>
      </c>
      <c r="L74" s="241">
        <f t="shared" si="10"/>
        <v>0.021952504497524103</v>
      </c>
    </row>
    <row r="75" ht="18.75">
      <c r="A75" s="211">
        <v>13</v>
      </c>
      <c r="B75" s="212">
        <f>B72</f>
        <v>16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1920</v>
      </c>
      <c r="L75" s="241">
        <f t="shared" si="10"/>
        <v>0.009162784485923104</v>
      </c>
    </row>
    <row r="76" ht="18.75">
      <c r="A76" s="521" t="s">
        <v>58</v>
      </c>
      <c r="B76" s="522"/>
      <c r="C76" s="523" t="s">
        <v>58</v>
      </c>
      <c r="D76" s="521"/>
      <c r="E76" s="521"/>
      <c r="F76" s="524"/>
      <c r="G76" s="524"/>
      <c r="H76" s="525">
        <f>SUBTOTAL(109,Table1612[Column12])</f>
        <v>4290</v>
      </c>
      <c r="I76" s="521"/>
      <c r="J76" s="526"/>
      <c r="K76" s="527">
        <f>SUBTOTAL(109,Table1612[اجمالي])</f>
        <v>30385</v>
      </c>
      <c r="L76" s="528">
        <f>Table1612[[#Totals],[اجمالي]]/$G$79</f>
        <v>0.14500583677331955</v>
      </c>
    </row>
    <row r="77" ht="18.75">
      <c r="A77" s="216"/>
      <c r="B77" s="216"/>
      <c r="C77" s="217"/>
      <c r="D77" s="622"/>
      <c r="E77" s="622"/>
      <c r="F77" s="622"/>
      <c r="G77" s="622"/>
      <c r="H77" s="622"/>
      <c r="I77" s="622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209543.2892642754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156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272406.276043558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490FDA02-85C3-430F-8677-502907368EA6}">
      <formula1>$N$2:$N$20</formula1>
    </dataValidation>
    <dataValidation type="list" allowBlank="1" showInputMessage="1" showErrorMessage="1" sqref="G63:G75" xr:uid="{ED9A08E9-C66B-4712-B881-C910B89C9C48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J1" zoomScale="85" zoomScaleNormal="55" zoomScaleSheetLayoutView="85" workbookViewId="0">
      <selection activeCell="AB18" sqref="AB18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72"/>
    <col min="4" max="6" width="13.5703125" customWidth="1" style="207"/>
    <col min="7" max="7" width="28.5703125" customWidth="1" style="233"/>
    <col min="8" max="8" width="25" customWidth="1" style="407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23" t="s">
        <v>0</v>
      </c>
      <c r="B1" s="624"/>
      <c r="C1" s="625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3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6"/>
      <c r="B2" s="627"/>
      <c r="C2" s="628"/>
      <c r="D2" s="203"/>
      <c r="E2" s="204"/>
      <c r="F2" s="228">
        <f>D2*E2</f>
        <v>0</v>
      </c>
      <c r="G2" s="229" t="e">
        <f>G85/F2</f>
        <v>#DIV/0!</v>
      </c>
      <c r="H2" s="230">
        <f>Sheet2!B12</f>
        <v>75000</v>
      </c>
      <c r="I2" s="231">
        <f>Sheet2!B13</f>
        <v>75000</v>
      </c>
      <c r="J2" s="232">
        <f>Sheet2!B14</f>
        <v>230000</v>
      </c>
      <c r="K2" s="232">
        <f>Sheet2!B15</f>
        <v>50000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30" t="s">
        <v>17</v>
      </c>
      <c r="B3" s="631"/>
      <c r="C3" s="408"/>
      <c r="F3" s="234" t="s">
        <v>18</v>
      </c>
      <c r="G3" s="632">
        <f>NOW()</f>
        <v>45327.437373206019</v>
      </c>
      <c r="H3" s="633"/>
      <c r="I3" s="633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9" t="s">
        <v>20</v>
      </c>
      <c r="E4" s="629"/>
      <c r="F4" s="629"/>
      <c r="G4" s="629"/>
      <c r="H4" s="629"/>
      <c r="I4" s="629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637.5</v>
      </c>
      <c r="K6" s="240">
        <f>B6*J6</f>
        <v>3187.5</v>
      </c>
      <c r="L6" s="241">
        <f>(K6)/$G$84</f>
        <v>0.00826029838894432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402">
        <v>0.1</v>
      </c>
      <c r="E7" s="402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3506.25</v>
      </c>
      <c r="K7" s="240">
        <f ref="K7:K9" t="shared" si="2">B7*J7</f>
        <v>28050</v>
      </c>
      <c r="L7" s="241">
        <f>(K7)/$G$84</f>
        <v>0.07269062582271002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402">
        <v>0.1</v>
      </c>
      <c r="E8" s="402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2118.75</v>
      </c>
      <c r="K8" s="240">
        <f t="shared" si="2"/>
        <v>6356.25</v>
      </c>
      <c r="L8" s="241">
        <f>(K8)/$G$84</f>
        <v>0.016472006787365438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402">
        <v>0.15</v>
      </c>
      <c r="E9" s="402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4200</v>
      </c>
      <c r="K9" s="240">
        <f t="shared" si="2"/>
        <v>8400</v>
      </c>
      <c r="L9" s="241">
        <f>(K9)/$G$84</f>
        <v>0.021768315754394443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/>
      <c r="I10" s="211">
        <f>SUBTOTAL(109,Table118[اجمالي الميزان])</f>
        <v>613.25</v>
      </c>
      <c r="J10" s="242"/>
      <c r="K10" s="240">
        <f>SUBTOTAL(109,Table118[اجمالي])</f>
        <v>45993.75</v>
      </c>
      <c r="L10" s="244">
        <f>Table118[[#Totals],[اجمالي]]/$G$84</f>
        <v>0.11919124675341422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29" t="s">
        <v>60</v>
      </c>
      <c r="E11" s="629"/>
      <c r="F11" s="629"/>
      <c r="G11" s="629"/>
      <c r="H11" s="629"/>
      <c r="I11" s="629"/>
      <c r="L11" s="413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41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15150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42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7575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29" t="s">
        <v>76</v>
      </c>
      <c r="E16" s="629"/>
      <c r="F16" s="629"/>
      <c r="G16" s="629"/>
      <c r="H16" s="629"/>
      <c r="I16" s="629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42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42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0.0031097593934849206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0.0025914661612374337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85</v>
      </c>
      <c r="K20" s="240">
        <f t="shared" si="5"/>
        <v>425</v>
      </c>
      <c r="L20" s="241">
        <f t="shared" si="6"/>
        <v>0.0011013731185259093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75</v>
      </c>
      <c r="K21" s="240">
        <f t="shared" si="5"/>
        <v>225</v>
      </c>
      <c r="L21" s="241">
        <f t="shared" si="6"/>
        <v>0.00058307988627842252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0.0024878075147879365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0.00031097593934849207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402"/>
      <c r="E24" s="402"/>
      <c r="F24" s="402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0.031097593934849205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402"/>
      <c r="E25" s="402"/>
      <c r="F25" s="402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0.00010365864644949734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1000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300</v>
      </c>
      <c r="K27" s="240">
        <f t="shared" si="5"/>
        <v>900</v>
      </c>
      <c r="L27" s="241">
        <f t="shared" si="6"/>
        <v>0.00233231954511369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16870</v>
      </c>
      <c r="L28" s="244">
        <f>Table1522[[#Totals],[اجمالي]]/$G$84</f>
        <v>0.0437180341400755</v>
      </c>
    </row>
    <row r="29" ht="18.75" s="216" customFormat="1">
      <c r="C29" s="217"/>
      <c r="D29" s="629" t="s">
        <v>99</v>
      </c>
      <c r="E29" s="629"/>
      <c r="F29" s="629"/>
      <c r="G29" s="629"/>
      <c r="H29" s="629"/>
      <c r="I29" s="629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75</v>
      </c>
      <c r="J31" s="243">
        <f ref="J31:J32" t="shared" si="8">H31*$H$2/1000</f>
        <v>1050</v>
      </c>
      <c r="K31" s="240">
        <f ref="K31:K32" t="shared" si="9">B31*J31</f>
        <v>8400</v>
      </c>
      <c r="L31" s="241">
        <f>(K31)/$G$84</f>
        <v>0.021768315754394443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75</v>
      </c>
      <c r="J32" s="243">
        <f t="shared" si="8"/>
        <v>112.5</v>
      </c>
      <c r="K32" s="240">
        <f t="shared" si="9"/>
        <v>3600</v>
      </c>
      <c r="L32" s="251">
        <f>(K32)/$G$84</f>
        <v>0.00932927818045476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12000</v>
      </c>
      <c r="L33" s="244">
        <f>Table1624[[#Totals],[اجمالي]]/$G$84</f>
        <v>0.031097593934849205</v>
      </c>
    </row>
    <row r="34" ht="18.75" s="216" customFormat="1">
      <c r="C34" s="217"/>
      <c r="D34" s="629" t="s">
        <v>102</v>
      </c>
      <c r="E34" s="629"/>
      <c r="F34" s="629"/>
      <c r="G34" s="629"/>
      <c r="H34" s="629"/>
      <c r="I34" s="629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325</v>
      </c>
      <c r="K36" s="240">
        <f ref="K36:K44" t="shared" si="10">B36*J36</f>
        <v>1950</v>
      </c>
      <c r="L36" s="241">
        <f ref="L36:L49" t="shared" si="11">(K36)/$G$84</f>
        <v>0.0050533590144129954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90</v>
      </c>
      <c r="K37" s="240">
        <f t="shared" si="10"/>
        <v>180</v>
      </c>
      <c r="L37" s="241">
        <f t="shared" si="11"/>
        <v>0.00046646390902273807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210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410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0.00019435996209280754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0.00019435996209280754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0.00064786654030935843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0.0019435996209280753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0.00051829323224748672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/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350</v>
      </c>
      <c r="J46" s="248"/>
      <c r="K46" s="240">
        <f>B46*Table1319[[#This Row],[سعر الكيلو]]</f>
        <v>7000</v>
      </c>
      <c r="L46" s="251">
        <f t="shared" si="11"/>
        <v>0.018140263128662036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450</v>
      </c>
      <c r="J47" s="248"/>
      <c r="K47" s="240">
        <f>B47*Table1319[[#This Row],[سعر الكيلو]]</f>
        <v>9000</v>
      </c>
      <c r="L47" s="251">
        <f t="shared" si="11"/>
        <v>0.023323195451136904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0.0020731729289899469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0.0020731729289899469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21080</v>
      </c>
      <c r="L50" s="244">
        <f>Table1319[[#Totals],[اجمالي]]/$G$84</f>
        <v>0.054628106678885104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29" t="s">
        <v>119</v>
      </c>
      <c r="E52" s="629"/>
      <c r="F52" s="629"/>
      <c r="G52" s="629"/>
      <c r="H52" s="629"/>
      <c r="I52" s="629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9" t="s">
        <v>43</v>
      </c>
      <c r="H54" s="211">
        <v>1.75</v>
      </c>
      <c r="I54" s="247">
        <f>J2/1000</f>
        <v>230</v>
      </c>
      <c r="J54" s="414">
        <f>Table161027[[#This Row],[سعر الكيلو]]*Table161027[[#This Row],[الوزن]]</f>
        <v>402.5</v>
      </c>
      <c r="K54" s="240">
        <f ref="K54:K55" t="shared" si="13">B54*J54</f>
        <v>2012.5</v>
      </c>
      <c r="L54" s="241">
        <f>(Table161027[[#This Row],[اجمالي]])/$G$84</f>
        <v>0.0052153256494903355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9" t="s">
        <v>122</v>
      </c>
      <c r="H55" s="211"/>
      <c r="I55" s="247"/>
      <c r="J55" s="414">
        <f>Sheet2!B32</f>
        <v>6500</v>
      </c>
      <c r="K55" s="240">
        <f t="shared" si="13"/>
        <v>32500</v>
      </c>
      <c r="L55" s="241">
        <f>(Table161027[[#This Row],[اجمالي]])/$G$84</f>
        <v>0.084222650240216593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410"/>
      <c r="H56" s="211"/>
      <c r="I56" s="247"/>
      <c r="J56" s="414"/>
      <c r="K56" s="240">
        <f>SUBTOTAL(109,Table161027[اجمالي])</f>
        <v>34512.5</v>
      </c>
      <c r="L56" s="241">
        <f>Table161027[[#Totals],[اجمالي]]/$G$84</f>
        <v>0.089437975889706936</v>
      </c>
    </row>
    <row r="57" ht="18.75" s="216" customFormat="1">
      <c r="C57" s="217"/>
      <c r="D57" s="629" t="s">
        <v>123</v>
      </c>
      <c r="E57" s="629"/>
      <c r="F57" s="629"/>
      <c r="G57" s="629"/>
      <c r="H57" s="629"/>
      <c r="I57" s="629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11" t="s">
        <v>125</v>
      </c>
      <c r="G58" s="216" t="s">
        <v>126</v>
      </c>
      <c r="H58" s="412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9">
        <f>'Cutting Ro-2'!$O$7</f>
        <v>2124.2963443004232</v>
      </c>
      <c r="I59" s="247"/>
      <c r="J59" s="414">
        <f>IF((Table161128[[#This Row],[عدد]]&gt;0),'Cutting Ro-2'!O8,0)</f>
        <v>203932.44905284065</v>
      </c>
      <c r="K59" s="240">
        <f>Table161128[[#This Row],[عدد]]*Table161128[[#This Row],[سعر البرجولا كاملة]]</f>
        <v>203932.44905284065</v>
      </c>
      <c r="L59" s="241">
        <f>(K59)/$G$84</f>
        <v>0.52848404089871348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203932.44905284065</v>
      </c>
      <c r="K60" s="240">
        <f>Table161128[[#This Row],[عدد]]*Table161128[[#This Row],[سعر البرجولا كاملة]]</f>
        <v>20393.244905284068</v>
      </c>
      <c r="L60" s="241">
        <f>(K60)/$G$84</f>
        <v>0.052848404089871355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224325.69395812473</v>
      </c>
      <c r="L61" s="244">
        <f>Table161128[[#Totals],[اجمالي]]/$G$84</f>
        <v>0.58133244498858483</v>
      </c>
    </row>
    <row r="62" ht="18.75" s="216" customFormat="1">
      <c r="C62" s="217"/>
      <c r="D62" s="629" t="s">
        <v>131</v>
      </c>
      <c r="E62" s="629"/>
      <c r="F62" s="629"/>
      <c r="G62" s="629"/>
      <c r="H62" s="629"/>
      <c r="I62" s="629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132</v>
      </c>
      <c r="D64" s="214"/>
      <c r="E64" s="211"/>
      <c r="G64" s="247"/>
      <c r="H64" s="211"/>
      <c r="I64" s="247"/>
      <c r="J64" s="247">
        <v>20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29" t="s">
        <v>133</v>
      </c>
      <c r="E66" s="629"/>
      <c r="F66" s="629"/>
      <c r="G66" s="629"/>
      <c r="H66" s="629"/>
      <c r="I66" s="629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15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0.0031097593934849206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0.0015548796967424603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0.00466463909022738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0.0031097593934849206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0.010106718028825991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0.010106718028825991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0.010106718028825991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0.0068414706656668252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0.011661597725568452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0.0077743984837123012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0.0059603721708460971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0.0055975669082728571</v>
      </c>
      <c r="N80" s="207"/>
      <c r="O80" s="207"/>
      <c r="P80" s="207"/>
      <c r="Q80" s="207"/>
      <c r="R80" s="207"/>
      <c r="S80" s="207"/>
      <c r="T80" s="207"/>
    </row>
    <row r="81" ht="18.75">
      <c r="A81" s="521" t="s">
        <v>58</v>
      </c>
      <c r="B81" s="522"/>
      <c r="C81" s="523" t="s">
        <v>58</v>
      </c>
      <c r="D81" s="521"/>
      <c r="E81" s="521"/>
      <c r="F81" s="524"/>
      <c r="G81" s="524"/>
      <c r="H81" s="525">
        <f>SUBTOTAL(109,Table161229[Column12])</f>
        <v>4290</v>
      </c>
      <c r="I81" s="521"/>
      <c r="J81" s="526"/>
      <c r="K81" s="527">
        <f>SUBTOTAL(109,Table161229[اجمالي])</f>
        <v>31100</v>
      </c>
      <c r="L81" s="528">
        <f>Table161229[[#Totals],[اجمالي]]/$G$84</f>
        <v>0.08059459761448419</v>
      </c>
    </row>
    <row r="82" ht="18.75">
      <c r="A82" s="216"/>
      <c r="B82" s="216"/>
      <c r="C82" s="217"/>
      <c r="D82" s="622"/>
      <c r="E82" s="622"/>
      <c r="F82" s="622"/>
      <c r="G82" s="622"/>
      <c r="H82" s="622"/>
      <c r="I82" s="622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385881.94395812473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156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501646.52714556217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C30B2883-37AB-455C-829E-5B017F1846A5}">
      <formula1>$U$4:$U$5</formula1>
    </dataValidation>
    <dataValidation type="list" allowBlank="1" showInputMessage="1" showErrorMessage="1" sqref="F72:F80" xr:uid="{60D9B639-6FEC-484E-A0E2-71154C2C4D37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topLeftCell="R1" zoomScale="70" zoomScaleNormal="70" workbookViewId="0">
      <selection activeCell="AM14" sqref="AM14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3" t="s">
        <v>440</v>
      </c>
      <c r="B1" s="271">
        <f>(F1*D1)/10000</f>
        <v>12.5</v>
      </c>
      <c r="C1" s="272" t="s">
        <v>424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23" t="s">
        <v>0</v>
      </c>
      <c r="M1" s="624"/>
      <c r="N1" s="625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3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4" t="s">
        <v>441</v>
      </c>
      <c r="B2" s="187" t="s">
        <v>442</v>
      </c>
      <c r="C2" s="187" t="s">
        <v>443</v>
      </c>
      <c r="D2" s="187" t="s">
        <v>64</v>
      </c>
      <c r="E2" s="187" t="s">
        <v>444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6"/>
      <c r="M2" s="627"/>
      <c r="N2" s="628"/>
      <c r="O2" s="203"/>
      <c r="P2" s="204"/>
      <c r="Q2" s="228">
        <f>O2*P2</f>
        <v>0</v>
      </c>
      <c r="R2" s="229" t="e">
        <f>R72/Q2</f>
        <v>#DIV/0!</v>
      </c>
      <c r="S2" s="230">
        <f>Sheet2!B12</f>
        <v>75000</v>
      </c>
      <c r="T2" s="231">
        <f>Sheet2!B13</f>
        <v>75000</v>
      </c>
      <c r="U2" s="232">
        <f>Sheet2!B14</f>
        <v>230000</v>
      </c>
      <c r="V2" s="232">
        <f>Sheet2!B15</f>
        <v>50000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445</v>
      </c>
      <c r="B3" s="187">
        <f>MAX(G3:I3)</f>
        <v>5</v>
      </c>
      <c r="C3" s="187">
        <v>2.25</v>
      </c>
      <c r="D3" s="187">
        <f>IF((تسعير!$AT$6="سادة"),((wavy1!$U$2+15000)/1000),IF((تسعير!$AT$6="خشبي"),((wavy1!$U$2+wavy1!$V$2)/1000),0))</f>
        <v>245</v>
      </c>
      <c r="E3" s="187">
        <v>2</v>
      </c>
      <c r="F3" s="395">
        <f>B3*C3*D3*E3</f>
        <v>5512.5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30" t="s">
        <v>17</v>
      </c>
      <c r="M3" s="631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32">
        <f>NOW()</f>
        <v>45327.437373252316</v>
      </c>
      <c r="S3" s="633"/>
      <c r="T3" s="633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446</v>
      </c>
      <c r="B4" s="187">
        <f>MAX(G4:J4)</f>
        <v>2.5</v>
      </c>
      <c r="C4" s="187">
        <v>0.56</v>
      </c>
      <c r="D4" s="187">
        <f>IF((تسعير!$AT$6="سادة"),((wavy1!$U$2+15000)/1000),IF((تسعير!$AT$6="خشبي"),((wavy1!$U$2+wavy1!$V$2)/1000),0))</f>
        <v>245</v>
      </c>
      <c r="E4" s="187">
        <f>CEILING(D1/60,1)+1</f>
        <v>10</v>
      </c>
      <c r="F4" s="395">
        <f>B4*C4*D4*E4</f>
        <v>3430.0000000000005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29" t="s">
        <v>20</v>
      </c>
      <c r="P4" s="629"/>
      <c r="Q4" s="629"/>
      <c r="R4" s="629"/>
      <c r="S4" s="629"/>
      <c r="T4" s="629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447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448</v>
      </c>
      <c r="B5" s="187">
        <f>B3*3</f>
        <v>15</v>
      </c>
      <c r="D5" s="187">
        <v>50</v>
      </c>
      <c r="E5" s="187">
        <v>2</v>
      </c>
      <c r="F5" s="395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449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450</v>
      </c>
      <c r="B6" s="187">
        <f>E4*2</f>
        <v>20</v>
      </c>
      <c r="D6" s="187">
        <v>15</v>
      </c>
      <c r="F6" s="395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637.5</v>
      </c>
      <c r="V6" s="240">
        <f>M6*U6</f>
        <v>1912.5</v>
      </c>
      <c r="W6" s="241">
        <f>(V6)/$R$71</f>
        <v>0.0331529933663221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451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452</v>
      </c>
      <c r="B7" s="187">
        <f>(((D1/(E4-1)+10)*(E4-1))*F1)/10000</f>
        <v>14.75</v>
      </c>
      <c r="D7" s="187">
        <v>225</v>
      </c>
      <c r="F7" s="395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402">
        <v>0.1</v>
      </c>
      <c r="P7" s="402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2137.5</v>
      </c>
      <c r="V7" s="240">
        <f>M7*U7</f>
        <v>5343.75</v>
      </c>
      <c r="W7" s="241">
        <f>(V7)/$R$71</f>
        <v>0.0926333638176647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453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454</v>
      </c>
      <c r="B8" s="187">
        <f>MAX(G8:H8)</f>
        <v>3</v>
      </c>
      <c r="D8" s="187">
        <v>320</v>
      </c>
      <c r="F8" s="395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7256.25</v>
      </c>
      <c r="W8" s="244">
        <f>Table158[[#Totals],[اجمالي]]/$R$71</f>
        <v>0.12578635718398679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455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456</v>
      </c>
      <c r="B9" s="187">
        <v>2</v>
      </c>
      <c r="D9" s="187">
        <v>100</v>
      </c>
      <c r="F9" s="395">
        <f t="shared" si="0"/>
        <v>200</v>
      </c>
      <c r="G9" s="195"/>
      <c r="H9" s="195"/>
      <c r="I9" s="195"/>
      <c r="J9" s="195"/>
      <c r="L9" s="216"/>
      <c r="M9" s="216"/>
      <c r="N9" s="217"/>
      <c r="O9" s="629" t="s">
        <v>76</v>
      </c>
      <c r="P9" s="629"/>
      <c r="Q9" s="629"/>
      <c r="R9" s="629"/>
      <c r="S9" s="629"/>
      <c r="T9" s="629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457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458</v>
      </c>
      <c r="B10" s="187">
        <v>8</v>
      </c>
      <c r="D10" s="187">
        <v>35</v>
      </c>
      <c r="F10" s="395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459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460</v>
      </c>
      <c r="B11" s="187">
        <v>2</v>
      </c>
      <c r="D11" s="187">
        <v>100</v>
      </c>
      <c r="F11" s="395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0.0069339593968778248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461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462</v>
      </c>
      <c r="B12" s="187">
        <f>IF((تسعير!AT9=wavy1!A20),0,1)</f>
        <v>0</v>
      </c>
      <c r="D12" s="187">
        <v>500</v>
      </c>
      <c r="F12" s="395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 ca="1"/>
        <v>0.0029469327436730756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463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464</v>
      </c>
      <c r="B13" s="187">
        <f>E4*2</f>
        <v>20</v>
      </c>
      <c r="D13" s="187">
        <v>10</v>
      </c>
      <c r="F13" s="395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 ca="1"/>
        <v>0.0013001173869145921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184</v>
      </c>
      <c r="B14" s="195">
        <f>IF((تسعير!AT9=wavy1!A20),1,0)</f>
        <v>1</v>
      </c>
      <c r="C14" s="195"/>
      <c r="D14" s="195">
        <v>6000</v>
      </c>
      <c r="E14" s="195"/>
      <c r="F14" s="395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120</v>
      </c>
      <c r="W14" s="241">
        <f t="shared" si="2" ca="1"/>
        <v>0.0020801878190633474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7" t="s">
        <v>58</v>
      </c>
      <c r="B15" s="397"/>
      <c r="C15" s="397"/>
      <c r="D15" s="397"/>
      <c r="E15" s="397">
        <f>Table8[[#Totals],[اجمالي التكلفة]]/B1</f>
        <v>1752.1</v>
      </c>
      <c r="F15" s="398">
        <f>SUBTOTAL(109,Table8[اجمالي التكلفة])</f>
        <v>21901.25</v>
      </c>
      <c r="G15" s="397"/>
      <c r="H15" s="397"/>
      <c r="I15" s="397"/>
      <c r="J15" s="397"/>
      <c r="L15" s="211">
        <v>5</v>
      </c>
      <c r="M15" s="212"/>
      <c r="N15" s="213" t="s">
        <v>465</v>
      </c>
      <c r="O15" s="214"/>
      <c r="P15" s="214"/>
      <c r="Q15" s="214"/>
      <c r="R15" s="404" t="s">
        <v>466</v>
      </c>
      <c r="S15" s="250"/>
      <c r="T15" s="404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6"/>
      <c r="G16" s="195"/>
      <c r="H16" s="195"/>
      <c r="I16" s="195"/>
      <c r="J16" s="195"/>
      <c r="L16" s="211">
        <v>6</v>
      </c>
      <c r="M16" s="212"/>
      <c r="N16" s="213" t="s">
        <v>467</v>
      </c>
      <c r="O16" s="214"/>
      <c r="P16" s="214"/>
      <c r="Q16" s="214"/>
      <c r="R16" s="211" t="s">
        <v>468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6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1000</v>
      </c>
      <c r="V17" s="240">
        <f t="shared" si="1"/>
        <v>2000</v>
      </c>
      <c r="W17" s="241">
        <f t="shared" si="2" ca="1"/>
        <v>0.034669796984389128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5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2765</v>
      </c>
      <c r="W18" s="244">
        <f>Table1561[[#Totals],[اجمالي]]/$R$71</f>
        <v>0.047930994330917964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9" t="s">
        <v>469</v>
      </c>
      <c r="B19" s="400"/>
      <c r="C19" s="400"/>
      <c r="D19" s="400"/>
      <c r="E19" s="400"/>
      <c r="F19" s="400"/>
      <c r="G19" s="187"/>
      <c r="H19" s="187"/>
      <c r="I19" s="187"/>
      <c r="J19" s="187"/>
      <c r="L19" s="216"/>
      <c r="M19" s="216"/>
      <c r="N19" s="217"/>
      <c r="O19" s="629" t="s">
        <v>99</v>
      </c>
      <c r="P19" s="629"/>
      <c r="Q19" s="629"/>
      <c r="R19" s="629"/>
      <c r="S19" s="629"/>
      <c r="T19" s="629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5" t="s">
        <v>184</v>
      </c>
      <c r="B20" s="400"/>
      <c r="C20" s="400"/>
      <c r="D20" s="400"/>
      <c r="E20" s="400"/>
      <c r="F20" s="400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401"/>
      <c r="L21" s="211">
        <v>3</v>
      </c>
      <c r="M21" s="219">
        <f>IF((N3="A1"),2,IF((N3="A2"),2,0))</f>
        <v>0</v>
      </c>
      <c r="N21" s="220" t="s">
        <v>470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525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56.25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29" t="s">
        <v>102</v>
      </c>
      <c r="P24" s="629"/>
      <c r="Q24" s="629"/>
      <c r="R24" s="629"/>
      <c r="S24" s="629"/>
      <c r="T24" s="629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325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0.00078007043214875537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0.00078007043214875537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0.00043337246230486405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0.0026002347738291842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0.0013867918793755651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90</v>
      </c>
      <c r="V32" s="240">
        <f t="shared" si="3"/>
        <v>189.4736842105263</v>
      </c>
      <c r="W32" s="241">
        <f t="shared" si="4" ca="1"/>
        <v>0.003284507082731601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210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410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350</v>
      </c>
      <c r="V41" s="240">
        <f t="shared" si="5"/>
        <v>1750</v>
      </c>
      <c r="W41" s="251">
        <f t="shared" si="4" ca="1"/>
        <v>0.030336072361340484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450</v>
      </c>
      <c r="V42" s="240">
        <f t="shared" si="5"/>
        <v>2250</v>
      </c>
      <c r="W42" s="251">
        <f t="shared" si="4" ca="1"/>
        <v>0.039003521607437766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0.01386791879375565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0.01386791879375565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6134.4736842105267</v>
      </c>
      <c r="W45" s="244">
        <f>Table1359[[#Totals],[اجمالي]]/$R$71</f>
        <v>0.10634047861882828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29" t="s">
        <v>131</v>
      </c>
      <c r="P47" s="629"/>
      <c r="Q47" s="629"/>
      <c r="R47" s="629"/>
      <c r="S47" s="629"/>
      <c r="T47" s="629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471</v>
      </c>
      <c r="O49" s="214"/>
      <c r="P49" s="211"/>
      <c r="Q49" s="216"/>
      <c r="R49" s="247" t="s">
        <v>472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473</v>
      </c>
      <c r="O50" s="214"/>
      <c r="P50" s="211"/>
      <c r="Q50" s="216"/>
      <c r="R50" s="214"/>
      <c r="S50" s="211"/>
      <c r="T50" s="247"/>
      <c r="U50" s="248">
        <f>Table8[[#Totals],[اجمالي التكلفة]]</f>
        <v>21901.25</v>
      </c>
      <c r="V50" s="240">
        <f>M50*Table161368[[#This Row],[سعر الشبك ]]</f>
        <v>21901.25</v>
      </c>
      <c r="W50" s="241">
        <f t="shared" si="6" ca="1"/>
        <v>0.37965594560217619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21901.25</v>
      </c>
      <c r="V51" s="240">
        <f>M51*Table161368[[#This Row],[سعر الشبك ]]</f>
        <v>2190.125</v>
      </c>
      <c r="W51" s="241">
        <f t="shared" si="6" ca="1"/>
        <v>0.037965594560217614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24091.375</v>
      </c>
      <c r="W52" s="244">
        <f>Table161368[[#Totals],[اجمالي]]/$R$71</f>
        <v>0.41762154016239378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29" t="s">
        <v>133</v>
      </c>
      <c r="P53" s="629"/>
      <c r="Q53" s="629"/>
      <c r="R53" s="629"/>
      <c r="S53" s="629"/>
      <c r="T53" s="629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0.0069339593968778248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0.0069339593968778248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0.010400939095316737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0.010400939095316737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0.04507073607970586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0.0338030520597794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0.02253536803985293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0.045764132019393645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0.030336072361340484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0.079740533064094982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0.010400939095316737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21" t="s">
        <v>58</v>
      </c>
      <c r="M68" s="522"/>
      <c r="N68" s="523" t="s">
        <v>58</v>
      </c>
      <c r="O68" s="521"/>
      <c r="P68" s="521"/>
      <c r="Q68" s="524"/>
      <c r="R68" s="524"/>
      <c r="S68" s="525">
        <f>SUBTOTAL(109,Table161267[Column12])</f>
        <v>4290</v>
      </c>
      <c r="T68" s="521"/>
      <c r="U68" s="526"/>
      <c r="V68" s="527">
        <f>SUBTOTAL(109,Table161267[اجمالي])</f>
        <v>17440</v>
      </c>
      <c r="W68" s="528">
        <f>Table161267[[#Totals],[اجمالي]]/$R$71</f>
        <v>0.30232062970387319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22"/>
      <c r="P69" s="622"/>
      <c r="Q69" s="622"/>
      <c r="R69" s="622"/>
      <c r="S69" s="622"/>
      <c r="T69" s="62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57687.098684210527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74993.228289473685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28BB94D1-124D-4CE1-A400-68F9B63411C2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topLeftCell="T1" zoomScale="70" zoomScaleNormal="70" workbookViewId="0">
      <selection activeCell="AJ13" sqref="AJ1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3" t="s">
        <v>440</v>
      </c>
      <c r="B1" s="271">
        <f>(F1*D1)/10000</f>
        <v>35</v>
      </c>
      <c r="C1" s="272" t="s">
        <v>424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23" t="s">
        <v>0</v>
      </c>
      <c r="M1" s="624"/>
      <c r="N1" s="625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3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4" t="s">
        <v>441</v>
      </c>
      <c r="B2" s="187" t="s">
        <v>442</v>
      </c>
      <c r="C2" s="187" t="s">
        <v>443</v>
      </c>
      <c r="D2" s="187" t="s">
        <v>64</v>
      </c>
      <c r="E2" s="187" t="s">
        <v>444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6"/>
      <c r="M2" s="627"/>
      <c r="N2" s="628"/>
      <c r="O2" s="203"/>
      <c r="P2" s="204"/>
      <c r="Q2" s="228">
        <f>O2*P2</f>
        <v>0</v>
      </c>
      <c r="R2" s="229" t="e">
        <f>R72/Q2</f>
        <v>#DIV/0!</v>
      </c>
      <c r="S2" s="230">
        <f>Sheet2!B12</f>
        <v>75000</v>
      </c>
      <c r="T2" s="231">
        <f>Sheet2!B13</f>
        <v>75000</v>
      </c>
      <c r="U2" s="232">
        <f>Sheet2!B14</f>
        <v>230000</v>
      </c>
      <c r="V2" s="232">
        <f>Sheet2!B15</f>
        <v>50000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445</v>
      </c>
      <c r="B3" s="187">
        <f>MAX(G3:I3)</f>
        <v>7</v>
      </c>
      <c r="C3" s="187">
        <v>2.25</v>
      </c>
      <c r="D3" s="187">
        <f>IF((تسعير!$AT$6="سادة"),((wavy1!$U$2+15000)/1000),IF((تسعير!$AT$6="خشبي"),((wavy1!$U$2+wavy1!$V$2)/1000),0))</f>
        <v>245</v>
      </c>
      <c r="E3" s="187">
        <v>2</v>
      </c>
      <c r="F3" s="395">
        <f>B3*C3*D3*E3</f>
        <v>7717.5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30" t="s">
        <v>17</v>
      </c>
      <c r="M3" s="631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32">
        <f>NOW()</f>
        <v>45327.437373275461</v>
      </c>
      <c r="S3" s="633"/>
      <c r="T3" s="633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446</v>
      </c>
      <c r="B4" s="187">
        <f>MAX(G4:J4)</f>
        <v>5</v>
      </c>
      <c r="C4" s="187">
        <v>0.56</v>
      </c>
      <c r="D4" s="187">
        <f>IF((تسعير!$AT$6="سادة"),((wavy1!$U$2+15000)/1000),IF((تسعير!$AT$6="خشبي"),((wavy1!$U$2+wavy1!$V$2)/1000),0))</f>
        <v>245</v>
      </c>
      <c r="E4" s="187">
        <f>CEILING(D1/60,1)+1</f>
        <v>13</v>
      </c>
      <c r="F4" s="395">
        <f>B4*C4*D4*E4</f>
        <v>8918.0000000000018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29" t="s">
        <v>20</v>
      </c>
      <c r="P4" s="629"/>
      <c r="Q4" s="629"/>
      <c r="R4" s="629"/>
      <c r="S4" s="629"/>
      <c r="T4" s="629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448</v>
      </c>
      <c r="B5" s="187">
        <f>B3*3</f>
        <v>21</v>
      </c>
      <c r="D5" s="187">
        <v>50</v>
      </c>
      <c r="E5" s="187">
        <v>2</v>
      </c>
      <c r="F5" s="395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450</v>
      </c>
      <c r="B6" s="187">
        <f>E4*2</f>
        <v>26</v>
      </c>
      <c r="D6" s="187">
        <v>15</v>
      </c>
      <c r="F6" s="395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637.5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452</v>
      </c>
      <c r="B7" s="187">
        <f>(((D1/(E4-1)+10)*(E4-1))*F1)/10000</f>
        <v>41.000000000000007</v>
      </c>
      <c r="D7" s="187">
        <v>225</v>
      </c>
      <c r="F7" s="395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402">
        <v>0.1</v>
      </c>
      <c r="P7" s="402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2137.5</v>
      </c>
      <c r="V7" s="240">
        <f>M7*U7</f>
        <v>8550</v>
      </c>
      <c r="W7" s="241">
        <f>(V7)/$R$71</f>
        <v>0.11050437766941139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454</v>
      </c>
      <c r="B8" s="187">
        <f>MAX(G8:H8)</f>
        <v>6</v>
      </c>
      <c r="D8" s="187">
        <v>320</v>
      </c>
      <c r="F8" s="395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8550</v>
      </c>
      <c r="W8" s="244">
        <f>Table15855[[#Totals],[اجمالي]]/$R$71</f>
        <v>0.11050437766941139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456</v>
      </c>
      <c r="B9" s="187">
        <v>2</v>
      </c>
      <c r="D9" s="187">
        <v>100</v>
      </c>
      <c r="F9" s="395">
        <f t="shared" si="0"/>
        <v>200</v>
      </c>
      <c r="G9" s="195"/>
      <c r="H9" s="195"/>
      <c r="I9" s="195"/>
      <c r="J9" s="195"/>
      <c r="L9" s="216"/>
      <c r="M9" s="216"/>
      <c r="N9" s="217"/>
      <c r="O9" s="629" t="s">
        <v>76</v>
      </c>
      <c r="P9" s="629"/>
      <c r="Q9" s="629"/>
      <c r="R9" s="629"/>
      <c r="S9" s="629"/>
      <c r="T9" s="629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458</v>
      </c>
      <c r="B10" s="187">
        <v>8</v>
      </c>
      <c r="D10" s="187">
        <v>35</v>
      </c>
      <c r="F10" s="395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460</v>
      </c>
      <c r="B11" s="187">
        <v>2</v>
      </c>
      <c r="D11" s="187">
        <v>100</v>
      </c>
      <c r="F11" s="395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0.00516979544652217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462</v>
      </c>
      <c r="B12" s="187">
        <f>IF((تسعير!BE9=A20),0,1)</f>
        <v>0</v>
      </c>
      <c r="D12" s="187">
        <v>500</v>
      </c>
      <c r="F12" s="395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/>
        <v>0.0021971630647719224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464</v>
      </c>
      <c r="B13" s="187">
        <f>E4*2</f>
        <v>26</v>
      </c>
      <c r="D13" s="187">
        <v>10</v>
      </c>
      <c r="F13" s="395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/>
        <v>0.0009693366462229069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184</v>
      </c>
      <c r="B14" s="195">
        <f>IF((تسعير!BE9=A20),1,0)</f>
        <v>1</v>
      </c>
      <c r="C14" s="195"/>
      <c r="D14" s="195">
        <v>7500</v>
      </c>
      <c r="E14" s="195"/>
      <c r="F14" s="395">
        <f t="shared" si="0"/>
        <v>7500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480</v>
      </c>
      <c r="W14" s="241">
        <f t="shared" si="2"/>
        <v>0.0062037545358266041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6"/>
      <c r="G15" s="195"/>
      <c r="H15" s="195"/>
      <c r="I15" s="195"/>
      <c r="J15" s="195"/>
      <c r="L15" s="211">
        <v>5</v>
      </c>
      <c r="M15" s="212"/>
      <c r="N15" s="213" t="s">
        <v>465</v>
      </c>
      <c r="O15" s="214"/>
      <c r="P15" s="214"/>
      <c r="Q15" s="214"/>
      <c r="R15" s="404" t="s">
        <v>466</v>
      </c>
      <c r="S15" s="250"/>
      <c r="T15" s="404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6"/>
      <c r="G16" s="195"/>
      <c r="H16" s="195"/>
      <c r="I16" s="195"/>
      <c r="J16" s="195"/>
      <c r="L16" s="211">
        <v>6</v>
      </c>
      <c r="M16" s="212"/>
      <c r="N16" s="213" t="s">
        <v>467</v>
      </c>
      <c r="O16" s="214"/>
      <c r="P16" s="214"/>
      <c r="Q16" s="214"/>
      <c r="R16" s="211" t="s">
        <v>468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7" t="s">
        <v>58</v>
      </c>
      <c r="B17" s="397"/>
      <c r="C17" s="397"/>
      <c r="D17" s="397"/>
      <c r="E17" s="397">
        <f>Table823[[#Totals],[اجمالي التكلفة]]/B1</f>
        <v>1106.0142857142857</v>
      </c>
      <c r="F17" s="398">
        <f>SUBTOTAL(109,Table823[اجمالي التكلفة])</f>
        <v>38710.5</v>
      </c>
      <c r="G17" s="397"/>
      <c r="H17" s="397"/>
      <c r="I17" s="397"/>
      <c r="J17" s="397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1000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5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1125</v>
      </c>
      <c r="W18" s="244">
        <f>Table156140[[#Totals],[اجمالي]]/$R$71</f>
        <v>0.014540049693343604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9" t="s">
        <v>469</v>
      </c>
      <c r="B19" s="400"/>
      <c r="C19" s="400"/>
      <c r="D19" s="400"/>
      <c r="E19" s="400"/>
      <c r="F19" s="400"/>
      <c r="G19" s="187"/>
      <c r="H19" s="187"/>
      <c r="I19" s="187"/>
      <c r="J19" s="187"/>
      <c r="L19" s="216"/>
      <c r="M19" s="216"/>
      <c r="N19" s="217"/>
      <c r="O19" s="629" t="s">
        <v>99</v>
      </c>
      <c r="P19" s="629"/>
      <c r="Q19" s="629"/>
      <c r="R19" s="629"/>
      <c r="S19" s="629"/>
      <c r="T19" s="629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5" t="s">
        <v>184</v>
      </c>
      <c r="B20" s="400"/>
      <c r="C20" s="400"/>
      <c r="D20" s="400"/>
      <c r="E20" s="400"/>
      <c r="F20" s="400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401"/>
      <c r="L21" s="211">
        <v>3</v>
      </c>
      <c r="M21" s="219">
        <f>IF((N3="c1"),4,IF((N3="c2"),4,0))</f>
        <v>4</v>
      </c>
      <c r="N21" s="220" t="s">
        <v>470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525</v>
      </c>
      <c r="V21" s="240">
        <f>M21*U21</f>
        <v>2100</v>
      </c>
      <c r="W21" s="241">
        <f>(V21)/$R$71</f>
        <v>0.027141426094241392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56.25</v>
      </c>
      <c r="V22" s="240">
        <f>M22*U22</f>
        <v>900</v>
      </c>
      <c r="W22" s="251">
        <f>(V22)/$R$71</f>
        <v>0.011632039754674884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3000</v>
      </c>
      <c r="W23" s="244">
        <f>Table166241[[#Totals],[اجمالي]]/$R$71</f>
        <v>0.038773465848916278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29" t="s">
        <v>102</v>
      </c>
      <c r="P24" s="629"/>
      <c r="Q24" s="629"/>
      <c r="R24" s="629"/>
      <c r="S24" s="629"/>
      <c r="T24" s="629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325</v>
      </c>
      <c r="V26" s="240">
        <f ref="V26:V34" t="shared" si="3">M26*U26</f>
        <v>245.91666666666671</v>
      </c>
      <c r="W26" s="241">
        <f ref="W26:W44" t="shared" si="4">(V26)/$R$71</f>
        <v>0.00317834715889311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0.00058160198773374414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0.00058160198773374414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0.0009693366462229069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0.0058160198773374418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0.001550938633956651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90</v>
      </c>
      <c r="V32" s="240">
        <f t="shared" si="3"/>
        <v>189.4736842105263</v>
      </c>
      <c r="W32" s="241">
        <f t="shared" si="4"/>
        <v>0.0024488504746683964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210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410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0.03980742493822071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350</v>
      </c>
      <c r="V41" s="240">
        <f t="shared" si="5"/>
        <v>3500</v>
      </c>
      <c r="W41" s="251">
        <f t="shared" si="4"/>
        <v>0.045235710157068988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450</v>
      </c>
      <c r="V42" s="240">
        <f t="shared" si="5"/>
        <v>4500</v>
      </c>
      <c r="W42" s="251">
        <f t="shared" si="4"/>
        <v>0.058160198773374416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0.0018776697061768527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0.0018776697061768527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21" t="s">
        <v>58</v>
      </c>
      <c r="M45" s="522"/>
      <c r="N45" s="523" t="s">
        <v>58</v>
      </c>
      <c r="O45" s="524"/>
      <c r="P45" s="524"/>
      <c r="Q45" s="524"/>
      <c r="R45" s="521" t="s">
        <v>118</v>
      </c>
      <c r="S45" s="521"/>
      <c r="T45" s="521"/>
      <c r="U45" s="526"/>
      <c r="V45" s="527">
        <f>SUBTOTAL(109,Table135926[اجمالي])</f>
        <v>12540.950350877194</v>
      </c>
      <c r="W45" s="528">
        <f>Table135926[[#Totals],[اجمالي]]/$R$71</f>
        <v>0.16208537004756382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29" t="s">
        <v>131</v>
      </c>
      <c r="P47" s="629"/>
      <c r="Q47" s="629"/>
      <c r="R47" s="629"/>
      <c r="S47" s="629"/>
      <c r="T47" s="629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471</v>
      </c>
      <c r="O49" s="214"/>
      <c r="P49" s="211"/>
      <c r="Q49" s="216"/>
      <c r="R49" s="247" t="s">
        <v>472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473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38710.5</v>
      </c>
      <c r="V50" s="240">
        <f>M50*Table16136845[[#This Row],[سعر الشبك ]]</f>
        <v>38710.5</v>
      </c>
      <c r="W50" s="241">
        <f t="shared" si="6"/>
        <v>0.5003134165814912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38710.5</v>
      </c>
      <c r="V51" s="240">
        <f>M51*Table16136845[[#This Row],[سعر الشبك ]]</f>
        <v>3871.05</v>
      </c>
      <c r="W51" s="241">
        <f t="shared" si="6"/>
        <v>0.050031341658149119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42581.55</v>
      </c>
      <c r="W52" s="244">
        <f>Table16136845[[#Totals],[اجمالي]]/$R$71</f>
        <v>0.55034475823964035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29" t="s">
        <v>133</v>
      </c>
      <c r="P53" s="629"/>
      <c r="Q53" s="629"/>
      <c r="R53" s="629"/>
      <c r="S53" s="629"/>
      <c r="T53" s="629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0.010339590893044341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0.010339590893044341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0.00516979544652217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0.0077546931697832552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5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0.016801835201197053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5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5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5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0.01260137640089779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405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0.031018772679133021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405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405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405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0.029726323817502478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5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21" t="s">
        <v>58</v>
      </c>
      <c r="M68" s="522"/>
      <c r="N68" s="523" t="s">
        <v>58</v>
      </c>
      <c r="O68" s="521"/>
      <c r="P68" s="521"/>
      <c r="Q68" s="524"/>
      <c r="R68" s="524"/>
      <c r="S68" s="525">
        <f>SUBTOTAL(109,Table16126744[Column12])</f>
        <v>4390</v>
      </c>
      <c r="T68" s="521"/>
      <c r="U68" s="526"/>
      <c r="V68" s="527">
        <f>SUBTOTAL(109,Table16126744[اجمالي])</f>
        <v>9575</v>
      </c>
      <c r="W68" s="528">
        <f>Table16126744[[#Totals],[اجمالي]]/$R$71</f>
        <v>0.12375197850112445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22"/>
      <c r="P69" s="622"/>
      <c r="Q69" s="622"/>
      <c r="R69" s="622"/>
      <c r="S69" s="622"/>
      <c r="T69" s="622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77372.5003508772</v>
      </c>
      <c r="S71" s="211"/>
      <c r="T71" s="211"/>
      <c r="U71" s="243"/>
      <c r="V71" s="292"/>
      <c r="W71" s="406">
        <f>Table16126744[[#Totals],[%]]+Table16136845[[#Totals],[%]]+Table135926[[#Totals],[%]]+Table166241[[#Totals],[%]]+Table156140[[#Totals],[%]]+Table15855[[#Totals],[%]]</f>
        <v>0.99999999999999989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100584.25045614038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CB9457AB-A060-47D8-A44B-2AC51760746F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zoomScale="70" zoomScaleNormal="70" workbookViewId="0">
      <selection activeCell="C14" sqref="C14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42.42578125" customWidth="1" style="323"/>
    <col min="4" max="4" width="11.5703125" customWidth="1" style="323"/>
    <col min="5" max="5" width="16.28515625" customWidth="1" style="324"/>
    <col min="6" max="6" width="15.85546875" customWidth="1" style="323"/>
    <col min="7" max="7" width="13" customWidth="1" style="323"/>
    <col min="8" max="8" width="27.28515625" customWidth="1" style="323"/>
    <col min="9" max="9" width="16.42578125" customWidth="1" style="323"/>
    <col min="10" max="10" width="30.140625" customWidth="1" style="323"/>
    <col min="11" max="11" width="16" customWidth="1" style="323"/>
    <col min="12" max="12" width="16" customWidth="1"/>
    <col min="13" max="13" width="23.85546875" customWidth="1"/>
    <col min="14" max="14" width="17.140625" customWidth="1"/>
    <col min="15" max="15" width="18.2851562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62"/>
      <c r="M1" s="362"/>
      <c r="N1" s="362"/>
      <c r="O1" s="362"/>
      <c r="P1" s="363"/>
      <c r="R1" s="385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62"/>
      <c r="AD1" s="362"/>
      <c r="AE1" s="362"/>
      <c r="AF1" s="362"/>
      <c r="AG1" s="363"/>
    </row>
    <row r="2" ht="18.75">
      <c r="A2" s="328" t="s">
        <v>474</v>
      </c>
      <c r="B2" s="323" t="s">
        <v>198</v>
      </c>
      <c r="C2" s="323" t="s">
        <v>475</v>
      </c>
      <c r="E2" s="324" t="s">
        <v>9</v>
      </c>
      <c r="F2" s="323" t="s">
        <v>30</v>
      </c>
      <c r="H2" s="329" t="s">
        <v>9</v>
      </c>
      <c r="I2" s="364" t="s">
        <v>476</v>
      </c>
      <c r="J2" s="365" t="s">
        <v>477</v>
      </c>
      <c r="K2" s="366" t="s">
        <v>478</v>
      </c>
      <c r="M2" s="367" t="s">
        <v>479</v>
      </c>
      <c r="N2" s="367" t="s">
        <v>480</v>
      </c>
      <c r="O2" s="0" t="s">
        <v>9</v>
      </c>
      <c r="P2" s="368"/>
      <c r="R2" s="343"/>
      <c r="S2" s="323" t="s">
        <v>198</v>
      </c>
      <c r="T2" s="323" t="s">
        <v>475</v>
      </c>
      <c r="U2" s="323"/>
      <c r="V2" s="324" t="s">
        <v>9</v>
      </c>
      <c r="W2" s="323" t="s">
        <v>30</v>
      </c>
      <c r="X2" s="323"/>
      <c r="Y2" s="342" t="s">
        <v>9</v>
      </c>
      <c r="Z2" s="390" t="s">
        <v>476</v>
      </c>
      <c r="AA2" s="331" t="s">
        <v>477</v>
      </c>
      <c r="AB2" s="331" t="s">
        <v>478</v>
      </c>
      <c r="AD2" s="0" t="s">
        <v>479</v>
      </c>
      <c r="AE2" s="0" t="s">
        <v>480</v>
      </c>
      <c r="AF2" s="0" t="s">
        <v>9</v>
      </c>
      <c r="AG2" s="368"/>
    </row>
    <row r="3" ht="26.25">
      <c r="A3" s="330" t="s">
        <v>481</v>
      </c>
      <c r="B3" s="331">
        <v>2.5</v>
      </c>
      <c r="C3" s="331">
        <v>13</v>
      </c>
      <c r="E3" s="331" t="s">
        <v>181</v>
      </c>
      <c r="F3" s="331">
        <f>Sheet2!B42</f>
        <v>650</v>
      </c>
      <c r="H3" s="332" t="s">
        <v>482</v>
      </c>
      <c r="I3" s="369">
        <v>2</v>
      </c>
      <c r="J3" s="370">
        <v>75</v>
      </c>
      <c r="K3" s="371">
        <f ref="K3:K10" t="shared" si="0">I3*J3</f>
        <v>150</v>
      </c>
      <c r="M3" s="372" t="s">
        <v>483</v>
      </c>
      <c r="N3" s="372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5</v>
      </c>
      <c r="O3" s="372" t="e">
        <f>IF((N6&gt;0),"OK","WAIT")</f>
        <v>#VALUE!</v>
      </c>
      <c r="P3" s="368"/>
      <c r="R3" s="343"/>
      <c r="S3" s="386" t="s">
        <v>449</v>
      </c>
      <c r="T3" s="331">
        <v>17</v>
      </c>
      <c r="U3" s="323"/>
      <c r="V3" s="331" t="s">
        <v>181</v>
      </c>
      <c r="W3" s="331">
        <f>Sheet2!B42</f>
        <v>650</v>
      </c>
      <c r="X3" s="323"/>
      <c r="Y3" s="342" t="s">
        <v>484</v>
      </c>
      <c r="Z3" s="378">
        <v>8</v>
      </c>
      <c r="AA3" s="331">
        <v>50</v>
      </c>
      <c r="AB3" s="331">
        <f ref="AB3:AB11" t="shared" si="1">Z3*AA3</f>
        <v>400</v>
      </c>
      <c r="AD3" s="391" t="s">
        <v>483</v>
      </c>
      <c r="AE3" s="391">
        <f>IF((تسعير!AH28="3*3"),1,IF((تسعير!AH28="4*4"),2,no))</f>
        <v>2</v>
      </c>
      <c r="AF3" s="391"/>
      <c r="AG3" s="368"/>
    </row>
    <row r="4" ht="22.5" customHeight="1">
      <c r="A4" s="330" t="s">
        <v>481</v>
      </c>
      <c r="B4" s="331">
        <v>2.7</v>
      </c>
      <c r="C4" s="331" t="s">
        <v>485</v>
      </c>
      <c r="E4" s="331" t="s">
        <v>486</v>
      </c>
      <c r="F4" s="331">
        <f>Sheet2!B43</f>
        <v>150</v>
      </c>
      <c r="H4" s="332" t="s">
        <v>487</v>
      </c>
      <c r="I4" s="369">
        <v>2</v>
      </c>
      <c r="J4" s="370">
        <v>7</v>
      </c>
      <c r="K4" s="371">
        <f t="shared" si="0"/>
        <v>14</v>
      </c>
      <c r="M4" s="372" t="s">
        <v>488</v>
      </c>
      <c r="N4" s="372" t="str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v</v>
      </c>
      <c r="O4" s="372" t="str">
        <f>IF((N10=0),"WAIT","OK")</f>
        <v>OK</v>
      </c>
      <c r="P4" s="368"/>
      <c r="R4" s="343"/>
      <c r="S4" s="386" t="s">
        <v>199</v>
      </c>
      <c r="T4" s="331">
        <v>18.75</v>
      </c>
      <c r="U4" s="323"/>
      <c r="V4" s="331" t="s">
        <v>486</v>
      </c>
      <c r="W4" s="331">
        <f>Sheet2!B43</f>
        <v>150</v>
      </c>
      <c r="X4" s="323"/>
      <c r="Y4" s="342" t="s">
        <v>487</v>
      </c>
      <c r="Z4" s="378">
        <v>2</v>
      </c>
      <c r="AA4" s="331">
        <v>15</v>
      </c>
      <c r="AB4" s="331">
        <f t="shared" si="1"/>
        <v>30</v>
      </c>
      <c r="AD4" s="391" t="s">
        <v>488</v>
      </c>
      <c r="AE4" s="391">
        <f>IF((AE3=1),T3,IF((AE3=2),Table122[[#This Row],[ميزان]],no))</f>
        <v>18.75</v>
      </c>
      <c r="AF4" s="391"/>
      <c r="AG4" s="368"/>
    </row>
    <row r="5" ht="18.75">
      <c r="A5" s="330" t="s">
        <v>481</v>
      </c>
      <c r="B5" s="331">
        <v>3</v>
      </c>
      <c r="C5" s="331">
        <v>14.5</v>
      </c>
      <c r="E5" s="331" t="s">
        <v>200</v>
      </c>
      <c r="F5" s="331">
        <f>Sheet2!B44</f>
        <v>200</v>
      </c>
      <c r="H5" s="332" t="s">
        <v>489</v>
      </c>
      <c r="I5" s="369">
        <v>16</v>
      </c>
      <c r="J5" s="370">
        <v>10</v>
      </c>
      <c r="K5" s="371">
        <f t="shared" si="0"/>
        <v>160</v>
      </c>
      <c r="M5" s="372" t="s">
        <v>490</v>
      </c>
      <c r="N5" s="372">
        <f>IF((تسعير!AL8="خشبي"),'شماسي و كانتليفر'!F8,IF((تسعير!AL8="سادة"),'شماسي و كانتليفر'!F9,0))</f>
        <v>20</v>
      </c>
      <c r="O5" s="372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68"/>
      <c r="R5" s="343"/>
      <c r="S5" s="331"/>
      <c r="T5" s="331"/>
      <c r="U5" s="323"/>
      <c r="V5" s="331" t="s">
        <v>200</v>
      </c>
      <c r="W5" s="331">
        <f>Sheet2!B44</f>
        <v>200</v>
      </c>
      <c r="X5" s="323"/>
      <c r="Y5" s="342" t="s">
        <v>491</v>
      </c>
      <c r="Z5" s="378">
        <v>1</v>
      </c>
      <c r="AA5" s="331">
        <v>150</v>
      </c>
      <c r="AB5" s="331">
        <f t="shared" si="1"/>
        <v>150</v>
      </c>
      <c r="AD5" s="391" t="s">
        <v>490</v>
      </c>
      <c r="AE5" s="391">
        <f>IF((تسعير!AI28="خشبي"),W8,IF((تسعير!AI28="سادة"),W9,IF((تسعير!AI28="ذهبي"),W10,0)))</f>
        <v>20</v>
      </c>
      <c r="AF5" s="391"/>
      <c r="AG5" s="368"/>
    </row>
    <row r="6" ht="18.75">
      <c r="A6" s="330" t="s">
        <v>481</v>
      </c>
      <c r="B6" s="331">
        <v>3.5</v>
      </c>
      <c r="C6" s="331" t="s">
        <v>485</v>
      </c>
      <c r="E6" s="331" t="s">
        <v>492</v>
      </c>
      <c r="F6" s="331">
        <v>250</v>
      </c>
      <c r="H6" s="332" t="s">
        <v>493</v>
      </c>
      <c r="I6" s="369">
        <v>16</v>
      </c>
      <c r="J6" s="370">
        <v>1</v>
      </c>
      <c r="K6" s="371">
        <f t="shared" si="0"/>
        <v>16</v>
      </c>
      <c r="M6" s="372" t="s">
        <v>494</v>
      </c>
      <c r="N6" s="372" t="e">
        <f>(N5+'شماسي و كانتليفر'!F10)*(N4)</f>
        <v>#VALUE!</v>
      </c>
      <c r="O6" s="372" t="str">
        <f>IF((N5=0),"WAIT","OK")</f>
        <v>OK</v>
      </c>
      <c r="P6" s="368"/>
      <c r="R6" s="343"/>
      <c r="S6" s="331"/>
      <c r="T6" s="331">
        <v>37</v>
      </c>
      <c r="U6" s="323"/>
      <c r="V6" s="331" t="s">
        <v>495</v>
      </c>
      <c r="W6" s="331">
        <v>250</v>
      </c>
      <c r="X6" s="323"/>
      <c r="Y6" s="342" t="s">
        <v>496</v>
      </c>
      <c r="Z6" s="378">
        <v>1</v>
      </c>
      <c r="AA6" s="331">
        <v>150</v>
      </c>
      <c r="AB6" s="331">
        <f t="shared" si="1"/>
        <v>150</v>
      </c>
      <c r="AD6" s="391" t="s">
        <v>494</v>
      </c>
      <c r="AE6" s="391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4687.5</v>
      </c>
      <c r="AF6" s="391"/>
      <c r="AG6" s="368"/>
    </row>
    <row r="7" ht="18.75">
      <c r="A7" s="330" t="s">
        <v>180</v>
      </c>
      <c r="B7" s="331">
        <v>2</v>
      </c>
      <c r="C7" s="331">
        <v>13</v>
      </c>
      <c r="E7" s="331" t="s">
        <v>9</v>
      </c>
      <c r="F7" s="331" t="s">
        <v>30</v>
      </c>
      <c r="H7" s="332" t="s">
        <v>497</v>
      </c>
      <c r="I7" s="369">
        <v>2</v>
      </c>
      <c r="J7" s="370">
        <v>100</v>
      </c>
      <c r="K7" s="371">
        <f t="shared" si="0"/>
        <v>200</v>
      </c>
      <c r="M7" s="372" t="s">
        <v>498</v>
      </c>
      <c r="N7" s="372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650</v>
      </c>
      <c r="O7" s="372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68"/>
      <c r="R7" s="343"/>
      <c r="S7" s="331"/>
      <c r="T7" s="331">
        <v>45</v>
      </c>
      <c r="U7" s="323"/>
      <c r="V7" s="331" t="s">
        <v>9</v>
      </c>
      <c r="W7" s="331" t="s">
        <v>30</v>
      </c>
      <c r="X7" s="323"/>
      <c r="Y7" s="342" t="s">
        <v>499</v>
      </c>
      <c r="Z7" s="378">
        <v>1</v>
      </c>
      <c r="AA7" s="331">
        <v>150</v>
      </c>
      <c r="AB7" s="331">
        <f t="shared" si="1"/>
        <v>150</v>
      </c>
      <c r="AD7" s="391" t="s">
        <v>498</v>
      </c>
      <c r="AE7" s="391">
        <f>IF((تسعير!AJ28="اسباني"),W3,IF((تسعير!AJ28="بولي استر"),W5,IF((تسعير!AJ28="hdpe"),W4,IF((تسعير!AJ28="مصري"),W6,0))))</f>
        <v>200</v>
      </c>
      <c r="AF7" s="391"/>
      <c r="AG7" s="368"/>
    </row>
    <row r="8" ht="18.75">
      <c r="A8" s="330" t="s">
        <v>180</v>
      </c>
      <c r="B8" s="331">
        <v>2.5</v>
      </c>
      <c r="C8" s="331" t="s">
        <v>485</v>
      </c>
      <c r="E8" s="331" t="s">
        <v>177</v>
      </c>
      <c r="F8" s="331">
        <f>Table626[[#This Row],[Column2]]</f>
        <v>50</v>
      </c>
      <c r="H8" s="332" t="s">
        <v>500</v>
      </c>
      <c r="I8" s="369">
        <v>2</v>
      </c>
      <c r="J8" s="370">
        <v>20</v>
      </c>
      <c r="K8" s="371">
        <f t="shared" si="0"/>
        <v>40</v>
      </c>
      <c r="M8" s="372" t="s">
        <v>501</v>
      </c>
      <c r="N8" s="372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72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8"/>
      <c r="R8" s="343"/>
      <c r="S8" s="331"/>
      <c r="T8" s="331"/>
      <c r="U8" s="323"/>
      <c r="V8" s="331" t="s">
        <v>177</v>
      </c>
      <c r="W8" s="331">
        <f>Sheet2!B15/1000</f>
        <v>50</v>
      </c>
      <c r="X8" s="323"/>
      <c r="Y8" s="342" t="s">
        <v>502</v>
      </c>
      <c r="Z8" s="378">
        <v>2</v>
      </c>
      <c r="AA8" s="331">
        <v>50</v>
      </c>
      <c r="AB8" s="331">
        <f t="shared" si="1"/>
        <v>100</v>
      </c>
      <c r="AD8" s="391" t="s">
        <v>501</v>
      </c>
      <c r="AE8" s="391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91"/>
      <c r="AG8" s="368"/>
    </row>
    <row r="9" ht="18.75">
      <c r="A9" s="330" t="s">
        <v>180</v>
      </c>
      <c r="B9" s="331">
        <v>3</v>
      </c>
      <c r="C9" s="331">
        <v>14.5</v>
      </c>
      <c r="E9" s="331" t="s">
        <v>169</v>
      </c>
      <c r="F9" s="331">
        <f>Table626[[#This Row],[Column2]]</f>
        <v>20</v>
      </c>
      <c r="H9" s="332" t="s">
        <v>503</v>
      </c>
      <c r="I9" s="369">
        <v>7</v>
      </c>
      <c r="J9" s="370">
        <v>8</v>
      </c>
      <c r="K9" s="371">
        <f t="shared" si="0"/>
        <v>56</v>
      </c>
      <c r="M9" s="372" t="s">
        <v>504</v>
      </c>
      <c r="N9" s="372" t="e">
        <f>IF((تسعير!AM8="اسباني"),(N7*N8),IF((تسعير!AM8="بولي استر"),(N7*N8*1.42),IF((تسعير!AM8="hdpe"),(N7*N8*1.5),IF((تسعير!AM8="بدون"),(0),IF((تسعير!AM8="مصري "),(N7*N8*1.4),"v")))))</f>
        <v>#VALUE!</v>
      </c>
      <c r="O9" s="372"/>
      <c r="P9" s="368"/>
      <c r="R9" s="343"/>
      <c r="S9" s="331"/>
      <c r="T9" s="331"/>
      <c r="U9" s="323"/>
      <c r="V9" s="331" t="s">
        <v>169</v>
      </c>
      <c r="W9" s="331">
        <f>Sheet2!B41</f>
        <v>20</v>
      </c>
      <c r="X9" s="323"/>
      <c r="Y9" s="342" t="s">
        <v>505</v>
      </c>
      <c r="Z9" s="378">
        <v>36</v>
      </c>
      <c r="AA9" s="331">
        <v>25</v>
      </c>
      <c r="AB9" s="331">
        <f t="shared" si="1"/>
        <v>900</v>
      </c>
      <c r="AD9" s="391" t="s">
        <v>504</v>
      </c>
      <c r="AE9" s="391">
        <f>IF((تسعير!AJ28="اسباني"),(AE7*AE8),IF((تسعير!AJ28="بولي استر"),(AE7*AE8*1.42),IF((تسعير!AJ28="hdpe"),(AE7*AE8*1.5),IF((تسعير!AJ28="مصري"),(AE7*AE8*1.4),"v"))))</f>
        <v>6816</v>
      </c>
      <c r="AF9" s="391"/>
      <c r="AG9" s="368"/>
    </row>
    <row r="10" ht="18.75">
      <c r="A10" s="330" t="s">
        <v>180</v>
      </c>
      <c r="B10" s="331">
        <v>3.3</v>
      </c>
      <c r="C10" s="331">
        <v>17.5</v>
      </c>
      <c r="E10" s="331" t="s">
        <v>224</v>
      </c>
      <c r="F10" s="331">
        <f>W11</f>
        <v>230</v>
      </c>
      <c r="H10" s="332" t="s">
        <v>506</v>
      </c>
      <c r="I10" s="369">
        <v>8</v>
      </c>
      <c r="J10" s="370">
        <v>50</v>
      </c>
      <c r="K10" s="371">
        <f t="shared" si="0"/>
        <v>400</v>
      </c>
      <c r="M10" s="372" t="s">
        <v>507</v>
      </c>
      <c r="N10" s="372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5186</v>
      </c>
      <c r="O10" s="372"/>
      <c r="P10" s="368"/>
      <c r="R10" s="343"/>
      <c r="S10" s="331"/>
      <c r="T10" s="331"/>
      <c r="U10" s="323"/>
      <c r="V10" s="331" t="s">
        <v>508</v>
      </c>
      <c r="W10" s="331">
        <v>90</v>
      </c>
      <c r="X10" s="323"/>
      <c r="Y10" s="342" t="s">
        <v>509</v>
      </c>
      <c r="Z10" s="378">
        <v>1</v>
      </c>
      <c r="AA10" s="331">
        <v>75</v>
      </c>
      <c r="AB10" s="331">
        <f t="shared" si="1"/>
        <v>75</v>
      </c>
      <c r="AD10" s="391" t="s">
        <v>507</v>
      </c>
      <c r="AE10" s="391">
        <f>IF(تسعير!AG28="جملة",(((W12+W13)/2)+Table424[[#Totals],[قيمة]]),IF(تسعير!AG28="قطاعي",(((W12+W13))+Table424[[#Totals],[قيمة]]),0))</f>
        <v>7830</v>
      </c>
      <c r="AF10" s="391"/>
      <c r="AG10" s="368"/>
    </row>
    <row r="11" ht="18.75">
      <c r="A11" s="328"/>
      <c r="E11" s="333" t="s">
        <v>510</v>
      </c>
      <c r="F11" s="334">
        <v>450</v>
      </c>
      <c r="H11" s="335" t="s">
        <v>511</v>
      </c>
      <c r="I11" s="373"/>
      <c r="J11" s="374"/>
      <c r="K11" s="375">
        <v>250</v>
      </c>
      <c r="M11" s="372" t="s">
        <v>512</v>
      </c>
      <c r="N11" s="372">
        <f>IF(OR(تسعير!AN8="double",تسعير!AN8="single مطرز"),'شماسي و كانتليفر'!F13,0)</f>
        <v>0</v>
      </c>
      <c r="O11" s="372"/>
      <c r="P11" s="368"/>
      <c r="R11" s="343"/>
      <c r="S11" s="323"/>
      <c r="T11" s="323"/>
      <c r="U11" s="323"/>
      <c r="V11" s="331" t="s">
        <v>224</v>
      </c>
      <c r="W11" s="331">
        <f>Sheet2!B14/1000</f>
        <v>230</v>
      </c>
      <c r="X11" s="323"/>
      <c r="Y11" s="342" t="s">
        <v>513</v>
      </c>
      <c r="Z11" s="378">
        <v>1</v>
      </c>
      <c r="AA11" s="331">
        <v>75</v>
      </c>
      <c r="AB11" s="331">
        <f t="shared" si="1"/>
        <v>75</v>
      </c>
      <c r="AD11" s="391" t="s">
        <v>512</v>
      </c>
      <c r="AE11" s="391">
        <f>IF(تسعير!AK28="no",0,W14)</f>
        <v>1200</v>
      </c>
      <c r="AF11" s="391"/>
      <c r="AG11" s="368"/>
    </row>
    <row r="12" ht="18.75">
      <c r="A12" s="328"/>
      <c r="E12" s="336" t="s">
        <v>514</v>
      </c>
      <c r="F12" s="337">
        <v>450</v>
      </c>
      <c r="H12" s="338" t="s">
        <v>515</v>
      </c>
      <c r="I12" s="369"/>
      <c r="J12" s="370"/>
      <c r="K12" s="376">
        <f>Sheet2!B46</f>
        <v>3000</v>
      </c>
      <c r="M12" s="372" t="s">
        <v>516</v>
      </c>
      <c r="N12" s="372">
        <f>'شماسي و كانتليفر'!K12</f>
        <v>3000</v>
      </c>
      <c r="O12" s="372"/>
      <c r="P12" s="368"/>
      <c r="R12" s="343"/>
      <c r="S12" s="323"/>
      <c r="T12" s="323"/>
      <c r="U12" s="323"/>
      <c r="V12" s="331" t="s">
        <v>510</v>
      </c>
      <c r="W12" s="331">
        <v>500</v>
      </c>
      <c r="X12" s="323"/>
      <c r="Y12" s="391" t="s">
        <v>515</v>
      </c>
      <c r="Z12" s="378"/>
      <c r="AA12" s="331"/>
      <c r="AB12" s="217">
        <f>Sheet2!B45</f>
        <v>4000</v>
      </c>
      <c r="AD12" s="391" t="s">
        <v>517</v>
      </c>
      <c r="AE12" s="391">
        <f>IF(تسعير!AG28="نصف جملة",((AE6+AE9+AE10+AE11+تسعير!AL28)*1.25),IF(تسعير!AG28="جملة",(((AE6+AE9+AE10+AE11+تسعير!AL28)*1.275)),((AE6+AE9+AE10+AE11+تسعير!AL28)*1.3)))</f>
        <v>26693.55</v>
      </c>
      <c r="AF12" s="391"/>
      <c r="AG12" s="368"/>
    </row>
    <row r="13" ht="18.75">
      <c r="A13" s="328"/>
      <c r="E13" s="339" t="s">
        <v>518</v>
      </c>
      <c r="F13" s="340">
        <f>Sheet2!B54</f>
        <v>1200</v>
      </c>
      <c r="H13" s="341" t="s">
        <v>58</v>
      </c>
      <c r="I13" s="374"/>
      <c r="J13" s="374"/>
      <c r="K13" s="377">
        <f>SUBTOTAL(109,Table4[قيمة])</f>
        <v>4286</v>
      </c>
      <c r="M13" s="372" t="s">
        <v>517</v>
      </c>
      <c r="N13" s="372" t="e">
        <f>IF(تسعير!AI8="نصف جملة",((N6+N9+N10+N11+تسعير!AO8)*1.275),IF(تسعير!AI8="جملة",(((N6+N9+N10+N11+تسعير!AO8)*1.25)),((N6+N9+N10+N11+تسعير!AO8)*1.3)))</f>
        <v>#VALUE!</v>
      </c>
      <c r="O13" s="372"/>
      <c r="P13" s="368"/>
      <c r="R13" s="343"/>
      <c r="S13" s="323"/>
      <c r="T13" s="323"/>
      <c r="U13" s="323"/>
      <c r="V13" s="331" t="s">
        <v>514</v>
      </c>
      <c r="W13" s="331">
        <v>500</v>
      </c>
      <c r="X13" s="323"/>
      <c r="Y13" s="342" t="s">
        <v>519</v>
      </c>
      <c r="Z13" s="378">
        <v>8</v>
      </c>
      <c r="AA13" s="331">
        <v>100</v>
      </c>
      <c r="AB13" s="331">
        <f>Table424[[#This Row],[سعر الوحدة]]*Table424[[#This Row],[عدد/الشمسية]]</f>
        <v>800</v>
      </c>
      <c r="AG13" s="368"/>
    </row>
    <row r="14" ht="18.75">
      <c r="A14" s="328"/>
      <c r="H14" s="342"/>
      <c r="I14" s="378"/>
      <c r="J14" s="331"/>
      <c r="K14" s="331"/>
      <c r="M14" s="372"/>
      <c r="N14" s="372"/>
      <c r="O14" s="372"/>
      <c r="P14" s="368"/>
      <c r="R14" s="343"/>
      <c r="S14" s="323"/>
      <c r="T14" s="323"/>
      <c r="U14" s="323"/>
      <c r="V14" s="331" t="s">
        <v>518</v>
      </c>
      <c r="W14" s="331">
        <f>Sheet2!B54</f>
        <v>1200</v>
      </c>
      <c r="X14" s="323"/>
      <c r="Y14" s="342"/>
      <c r="Z14" s="378"/>
      <c r="AA14" s="331"/>
      <c r="AB14" s="331"/>
      <c r="AG14" s="368"/>
    </row>
    <row r="15" ht="18.75">
      <c r="A15" s="328"/>
      <c r="H15" s="324" t="s">
        <v>198</v>
      </c>
      <c r="I15" s="323" t="s">
        <v>520</v>
      </c>
      <c r="J15" s="323" t="s">
        <v>521</v>
      </c>
      <c r="K15" s="323" t="s">
        <v>522</v>
      </c>
      <c r="M15" s="372"/>
      <c r="N15" s="372"/>
      <c r="O15" s="372"/>
      <c r="P15" s="368"/>
      <c r="R15" s="343"/>
      <c r="S15" s="323"/>
      <c r="T15" s="323"/>
      <c r="U15" s="323"/>
      <c r="V15" s="324"/>
      <c r="W15" s="323"/>
      <c r="X15" s="323"/>
      <c r="Y15" s="342" t="s">
        <v>58</v>
      </c>
      <c r="Z15" s="331"/>
      <c r="AA15" s="331"/>
      <c r="AB15" s="331">
        <f>SUBTOTAL(109,Table424[قيمة])</f>
        <v>6830</v>
      </c>
      <c r="AG15" s="368"/>
    </row>
    <row r="16" ht="18.75">
      <c r="A16" s="328"/>
      <c r="E16" s="324" t="s">
        <v>9</v>
      </c>
      <c r="F16" s="324" t="s">
        <v>30</v>
      </c>
      <c r="H16" s="331" t="s">
        <v>523</v>
      </c>
      <c r="I16" s="331">
        <v>5.8</v>
      </c>
      <c r="J16" s="331">
        <v>7.16</v>
      </c>
      <c r="K16" s="331">
        <v>8.6</v>
      </c>
      <c r="M16" s="372"/>
      <c r="N16" s="372"/>
      <c r="O16" s="372"/>
      <c r="P16" s="368"/>
      <c r="R16" s="343"/>
      <c r="S16" s="323"/>
      <c r="T16" s="323"/>
      <c r="U16" s="323"/>
      <c r="V16" s="324"/>
      <c r="W16" s="323"/>
      <c r="X16" s="323"/>
      <c r="Y16" s="342"/>
      <c r="Z16" s="378"/>
      <c r="AA16" s="331"/>
      <c r="AB16" s="331"/>
      <c r="AG16" s="368"/>
    </row>
    <row r="17" ht="18.75">
      <c r="A17" s="343"/>
      <c r="E17" s="324" t="s">
        <v>179</v>
      </c>
      <c r="F17" s="323" t="s">
        <v>524</v>
      </c>
      <c r="H17" s="331" t="s">
        <v>525</v>
      </c>
      <c r="I17" s="331">
        <v>5.65</v>
      </c>
      <c r="J17" s="331" t="s">
        <v>485</v>
      </c>
      <c r="K17" s="331" t="s">
        <v>485</v>
      </c>
      <c r="P17" s="368"/>
      <c r="R17" s="343"/>
      <c r="V17" s="324" t="s">
        <v>9</v>
      </c>
      <c r="W17" s="323" t="s">
        <v>30</v>
      </c>
      <c r="X17" s="323"/>
      <c r="Y17" s="324" t="s">
        <v>198</v>
      </c>
      <c r="Z17" s="323" t="s">
        <v>520</v>
      </c>
      <c r="AA17" s="323" t="s">
        <v>521</v>
      </c>
      <c r="AB17" s="323" t="s">
        <v>522</v>
      </c>
      <c r="AG17" s="368"/>
    </row>
    <row r="18" ht="18.75">
      <c r="A18" s="343"/>
      <c r="E18" s="324" t="s">
        <v>526</v>
      </c>
      <c r="F18" s="323" t="s">
        <v>182</v>
      </c>
      <c r="H18" s="331" t="s">
        <v>527</v>
      </c>
      <c r="I18" s="331" t="s">
        <v>485</v>
      </c>
      <c r="J18" s="331" t="s">
        <v>485</v>
      </c>
      <c r="K18" s="331" t="s">
        <v>485</v>
      </c>
      <c r="P18" s="368"/>
      <c r="R18" s="343"/>
      <c r="V18" s="331" t="s">
        <v>179</v>
      </c>
      <c r="W18" s="342" t="s">
        <v>524</v>
      </c>
      <c r="X18" s="323"/>
      <c r="Y18" s="331" t="s">
        <v>449</v>
      </c>
      <c r="Z18" s="331">
        <v>10</v>
      </c>
      <c r="AA18" s="331">
        <v>13</v>
      </c>
      <c r="AB18" s="331">
        <v>16</v>
      </c>
      <c r="AG18" s="368"/>
    </row>
    <row r="19" ht="18.75">
      <c r="A19" s="343"/>
      <c r="E19" s="324" t="s">
        <v>528</v>
      </c>
      <c r="F19" s="323" t="s">
        <v>201</v>
      </c>
      <c r="H19" s="331" t="s">
        <v>529</v>
      </c>
      <c r="I19" s="331">
        <v>6.5</v>
      </c>
      <c r="J19" s="331" t="s">
        <v>485</v>
      </c>
      <c r="K19" s="331" t="s">
        <v>485</v>
      </c>
      <c r="P19" s="368"/>
      <c r="R19" s="343"/>
      <c r="V19" s="331" t="s">
        <v>526</v>
      </c>
      <c r="W19" s="342" t="s">
        <v>182</v>
      </c>
      <c r="X19" s="323"/>
      <c r="Y19" s="331" t="s">
        <v>199</v>
      </c>
      <c r="Z19" s="331">
        <v>16</v>
      </c>
      <c r="AA19" s="331">
        <v>20</v>
      </c>
      <c r="AB19" s="331">
        <v>24</v>
      </c>
      <c r="AG19" s="368"/>
    </row>
    <row r="20" ht="18.75">
      <c r="A20" s="343"/>
      <c r="F20" s="323" t="s">
        <v>530</v>
      </c>
      <c r="H20" s="331" t="s">
        <v>531</v>
      </c>
      <c r="I20" s="331" t="s">
        <v>485</v>
      </c>
      <c r="J20" s="331" t="s">
        <v>485</v>
      </c>
      <c r="K20" s="331" t="s">
        <v>485</v>
      </c>
      <c r="P20" s="368"/>
      <c r="R20" s="343"/>
      <c r="V20" s="331"/>
      <c r="W20" s="342" t="s">
        <v>201</v>
      </c>
      <c r="X20" s="323"/>
      <c r="Y20" s="331"/>
      <c r="Z20" s="331"/>
      <c r="AA20" s="331"/>
      <c r="AB20" s="331"/>
      <c r="AG20" s="368"/>
    </row>
    <row r="21" ht="18.75">
      <c r="A21" s="343"/>
      <c r="H21" s="331" t="s">
        <v>532</v>
      </c>
      <c r="I21" s="331" t="s">
        <v>485</v>
      </c>
      <c r="J21" s="331" t="s">
        <v>485</v>
      </c>
      <c r="K21" s="331" t="s">
        <v>485</v>
      </c>
      <c r="P21" s="368"/>
      <c r="R21" s="343"/>
      <c r="V21" s="324"/>
      <c r="W21" s="323"/>
      <c r="X21" s="323"/>
      <c r="Y21" s="331"/>
      <c r="Z21" s="331"/>
      <c r="AA21" s="331"/>
      <c r="AB21" s="331"/>
      <c r="AG21" s="368"/>
    </row>
    <row r="22" ht="18.75">
      <c r="A22" s="343"/>
      <c r="H22" s="331" t="s">
        <v>533</v>
      </c>
      <c r="I22" s="331">
        <v>8.5</v>
      </c>
      <c r="J22" s="331">
        <v>11.5</v>
      </c>
      <c r="K22" s="331">
        <v>14.5</v>
      </c>
      <c r="P22" s="368"/>
      <c r="R22" s="343"/>
      <c r="AG22" s="368"/>
    </row>
    <row r="23" ht="18.75">
      <c r="A23" s="343"/>
      <c r="H23" s="331" t="s">
        <v>534</v>
      </c>
      <c r="I23" s="331">
        <v>9.4</v>
      </c>
      <c r="J23" s="331">
        <v>12.4</v>
      </c>
      <c r="K23" s="331">
        <v>15.4</v>
      </c>
      <c r="P23" s="368"/>
      <c r="R23" s="343"/>
      <c r="AG23" s="368"/>
    </row>
    <row r="24">
      <c r="A24" s="328"/>
      <c r="P24" s="368"/>
      <c r="R24" s="343"/>
      <c r="AG24" s="368"/>
    </row>
    <row r="25">
      <c r="A25" s="344"/>
      <c r="B25" s="345"/>
      <c r="C25" s="345"/>
      <c r="D25" s="345"/>
      <c r="E25" s="346"/>
      <c r="F25" s="345"/>
      <c r="G25" s="345"/>
      <c r="H25" s="345"/>
      <c r="I25" s="345"/>
      <c r="J25" s="345"/>
      <c r="K25" s="345"/>
      <c r="L25" s="379"/>
      <c r="M25" s="379"/>
      <c r="N25" s="379"/>
      <c r="O25" s="379"/>
      <c r="P25" s="380"/>
      <c r="R25" s="343"/>
      <c r="AG25" s="368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62"/>
      <c r="M26" s="362"/>
      <c r="N26" s="362"/>
      <c r="O26" s="362"/>
      <c r="P26" s="363"/>
      <c r="R26" s="343"/>
      <c r="V26" s="379"/>
      <c r="W26" s="379"/>
      <c r="X26" s="379"/>
      <c r="Y26" s="379"/>
      <c r="Z26" s="379"/>
      <c r="AA26" s="379"/>
      <c r="AB26" s="379"/>
      <c r="AC26" s="379"/>
      <c r="AD26" s="379"/>
      <c r="AE26" s="379"/>
      <c r="AF26" s="379"/>
      <c r="AG26" s="380"/>
    </row>
    <row r="27">
      <c r="A27" s="347" t="s">
        <v>28</v>
      </c>
      <c r="B27" s="348" t="s">
        <v>475</v>
      </c>
      <c r="C27" s="348" t="s">
        <v>29</v>
      </c>
      <c r="D27" s="348" t="s">
        <v>535</v>
      </c>
      <c r="E27" s="349" t="s">
        <v>447</v>
      </c>
      <c r="F27" s="348" t="s">
        <v>536</v>
      </c>
      <c r="G27" s="348" t="s">
        <v>441</v>
      </c>
      <c r="H27" s="348"/>
      <c r="I27" s="348"/>
      <c r="J27" s="348"/>
      <c r="K27" s="348"/>
      <c r="L27" s="381"/>
      <c r="M27" s="381"/>
      <c r="N27" s="381"/>
      <c r="O27" s="381"/>
      <c r="P27" s="381"/>
      <c r="Q27" s="381"/>
      <c r="R27" s="381"/>
      <c r="S27" s="381"/>
      <c r="T27" s="381"/>
      <c r="U27" s="387"/>
    </row>
    <row r="28" ht="20.25" customHeight="1">
      <c r="A28" s="350">
        <f>IF((تسعير!T53="بالتات"),0,(تسعير!T47+1))</f>
        <v>2</v>
      </c>
      <c r="B28" s="331">
        <v>78</v>
      </c>
      <c r="C28" s="342" t="s">
        <v>537</v>
      </c>
      <c r="D28" s="331">
        <f>Sheet2!B12/1000</f>
        <v>75</v>
      </c>
      <c r="E28" s="324">
        <f>Table12[[#This Row],[سعر]]*Table12[[#This Row],[ميزان]]*Table12[[#This Row],[عدد]]</f>
        <v>11700</v>
      </c>
      <c r="F28" s="323">
        <f>16*3.14*Table12[[#This Row],[عدد]]*0.05</f>
        <v>5.0240000000000009</v>
      </c>
      <c r="G28" s="323">
        <f>Table12[[#This Row],[ميزان]]*Table12[[#This Row],[عدد]]</f>
        <v>156</v>
      </c>
      <c r="U28" s="388"/>
    </row>
    <row r="29" ht="35.25" customHeight="1">
      <c r="A29" s="350">
        <f>IF((تسعير!T53="بالتات"),(تسعير!T47+1),0)</f>
        <v>0</v>
      </c>
      <c r="B29" s="331">
        <v>62</v>
      </c>
      <c r="C29" s="342" t="s">
        <v>538</v>
      </c>
      <c r="D29" s="331">
        <f>Sheet2!B12/1000</f>
        <v>75</v>
      </c>
      <c r="E29" s="324">
        <f>Table12[[#This Row],[سعر]]*Table12[[#This Row],[ميزان]]*Table12[[#This Row],[عدد]]</f>
        <v>0</v>
      </c>
      <c r="F29" s="351">
        <f>16*3.14*Table12[[#This Row],[عدد]]*0.04</f>
        <v>0</v>
      </c>
      <c r="G29" s="323">
        <f>Table12[[#This Row],[ميزان]]*Table12[[#This Row],[عدد]]</f>
        <v>0</v>
      </c>
      <c r="I29" s="216"/>
      <c r="J29" s="216"/>
      <c r="K29" s="217"/>
      <c r="L29" s="629" t="s">
        <v>133</v>
      </c>
      <c r="M29" s="629"/>
      <c r="N29" s="629"/>
      <c r="O29" s="629"/>
      <c r="P29" s="629"/>
      <c r="Q29" s="629"/>
      <c r="R29" s="216"/>
      <c r="S29" s="216"/>
      <c r="T29" s="216"/>
      <c r="U29" s="388"/>
    </row>
    <row r="30" ht="35.25" customHeight="1">
      <c r="A30" s="350">
        <f>A28+A29</f>
        <v>2</v>
      </c>
      <c r="B30" s="331">
        <v>28</v>
      </c>
      <c r="C30" s="342" t="s">
        <v>539</v>
      </c>
      <c r="D30" s="331">
        <f>Sheet2!B12/1000</f>
        <v>75</v>
      </c>
      <c r="E30" s="324">
        <f>Table12[[#This Row],[سعر]]*Table12[[#This Row],[ميزان]]*Table12[[#This Row],[عدد]]</f>
        <v>4200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540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88"/>
    </row>
    <row r="31" ht="35.25" customHeight="1">
      <c r="A31" s="350">
        <f>A30</f>
        <v>2</v>
      </c>
      <c r="B31" s="331">
        <v>15</v>
      </c>
      <c r="C31" s="342" t="s">
        <v>541</v>
      </c>
      <c r="D31" s="331">
        <f>(Sheet2!B12/1000)+12</f>
        <v>87</v>
      </c>
      <c r="E31" s="324">
        <f>Table12[[#This Row],[سعر]]*Table12[[#This Row],[ميزان]]*Table12[[#This Row],[عدد]]</f>
        <v>2610</v>
      </c>
      <c r="F31" s="323">
        <f>16*3.14*Table12[[#This Row],[عدد]]</f>
        <v>100.48</v>
      </c>
      <c r="I31" s="212">
        <v>4</v>
      </c>
      <c r="J31" s="382" t="s">
        <v>139</v>
      </c>
      <c r="K31" s="211">
        <f>IF((Table161243[[#This Row],[موقع العمل]]="المصنع"),200,IF((Table161243[[#This Row],[موقع العمل]]="الاسكندرية"),200,250))</f>
        <v>200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8"/>
    </row>
    <row r="32" ht="35.25" customHeight="1">
      <c r="A32" s="350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1">
        <v>23</v>
      </c>
      <c r="C32" s="342" t="s">
        <v>542</v>
      </c>
      <c r="D32" s="331">
        <f>(Sheet2!B12/1000)+12</f>
        <v>87</v>
      </c>
      <c r="E32" s="324">
        <f>Table12[[#This Row],[سعر]]*Table12[[#This Row],[ميزان]]*Table12[[#This Row],[عدد]]</f>
        <v>8004</v>
      </c>
      <c r="I32" s="212">
        <v>2</v>
      </c>
      <c r="J32" s="382" t="s">
        <v>141</v>
      </c>
      <c r="K32" s="211">
        <f>IF((Table161243[[#This Row],[موقع العمل]]="المصنع"),200,IF((Table161243[[#This Row],[موقع العمل]]="الاسكندرية"),200,250))</f>
        <v>200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8"/>
    </row>
    <row r="33" ht="35.25" customHeight="1">
      <c r="A33" s="350">
        <f>A30</f>
        <v>2</v>
      </c>
      <c r="B33" s="331">
        <v>1</v>
      </c>
      <c r="C33" s="342" t="s">
        <v>245</v>
      </c>
      <c r="D33" s="331">
        <f>Sheet2!B50</f>
        <v>150</v>
      </c>
      <c r="E33" s="324">
        <f>Table12[[#This Row],[سعر]]*Table12[[#This Row],[ميزان]]*Table12[[#This Row],[عدد]]</f>
        <v>300</v>
      </c>
      <c r="I33" s="212">
        <v>3</v>
      </c>
      <c r="J33" s="382" t="s">
        <v>142</v>
      </c>
      <c r="K33" s="211">
        <f>IF((Table161243[[#This Row],[موقع العمل]]="المصنع"),200,IF((Table161243[[#This Row],[موقع العمل]]="الاسكندرية"),200,250))</f>
        <v>200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8"/>
    </row>
    <row r="34" ht="35.25" customHeight="1">
      <c r="A34" s="350">
        <f>(A31+A32)*2</f>
        <v>12</v>
      </c>
      <c r="B34" s="331">
        <v>1</v>
      </c>
      <c r="C34" s="342" t="s">
        <v>543</v>
      </c>
      <c r="D34" s="331">
        <f>Sheet2!B51</f>
        <v>150</v>
      </c>
      <c r="E34" s="324">
        <f>Table12[[#This Row],[سعر]]*Table12[[#This Row],[ميزان]]*Table12[[#This Row],[عدد]]</f>
        <v>1800</v>
      </c>
      <c r="I34" s="212">
        <v>0</v>
      </c>
      <c r="J34" s="382" t="s">
        <v>143</v>
      </c>
      <c r="K34" s="211">
        <f>IF((Table161243[[#This Row],[موقع العمل]]="المصنع"),200,IF((Table161243[[#This Row],[موقع العمل]]="الاسكندرية"),200,250))</f>
        <v>200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8"/>
    </row>
    <row r="35" ht="35.25" customHeight="1">
      <c r="A35" s="350">
        <f>تسعير!T47*4</f>
        <v>4</v>
      </c>
      <c r="B35" s="331">
        <v>1</v>
      </c>
      <c r="C35" s="342" t="s">
        <v>544</v>
      </c>
      <c r="D35" s="331">
        <f>Sheet2!B53</f>
        <v>100</v>
      </c>
      <c r="E35" s="324">
        <f>Table12[[#This Row],[سعر]]*Table12[[#This Row],[ميزان]]*Table12[[#This Row],[عدد]]</f>
        <v>400</v>
      </c>
      <c r="I35" s="212">
        <v>4</v>
      </c>
      <c r="J35" s="382" t="s">
        <v>144</v>
      </c>
      <c r="K35" s="211">
        <f>IF((Table161243[[#This Row],[موقع العمل]]="المصنع"),200,IF((Table161243[[#This Row],[موقع العمل]]="الاسكندرية"),200,250))</f>
        <v>250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5" s="240">
        <f>Table161243[[#This Row],[الايام]]*Q35</f>
        <v>1300</v>
      </c>
      <c r="S35" s="241" t="e">
        <f t="shared" si="2"/>
        <v>#DIV/0!</v>
      </c>
      <c r="U35" s="388"/>
    </row>
    <row r="36" ht="35.25" customHeight="1">
      <c r="A36" s="350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1">
        <v>1</v>
      </c>
      <c r="C36" s="342" t="s">
        <v>545</v>
      </c>
      <c r="D36" s="331">
        <f>Sheet2!B47</f>
        <v>150</v>
      </c>
      <c r="E36" s="324">
        <f>Table12[[#This Row],[سعر]]*Table12[[#This Row],[ميزان]]*Table12[[#This Row],[عدد]]</f>
        <v>4950</v>
      </c>
      <c r="I36" s="212">
        <v>3</v>
      </c>
      <c r="J36" s="382" t="s">
        <v>145</v>
      </c>
      <c r="K36" s="211">
        <f>IF((Table161243[[#This Row],[موقع العمل]]="المصنع"),200,IF((Table161243[[#This Row],[موقع العمل]]="الاسكندرية"),200,250))</f>
        <v>250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650</v>
      </c>
      <c r="R36" s="240">
        <f>Table161243[[#This Row],[الايام]]*Q36</f>
        <v>1950</v>
      </c>
      <c r="S36" s="241" t="e">
        <f t="shared" si="2"/>
        <v>#DIV/0!</v>
      </c>
      <c r="U36" s="388"/>
    </row>
    <row r="37" ht="35.25" customHeight="1">
      <c r="A37" s="352">
        <f>IF((تسعير!T46="A"),Table12[[#This Row],[Column7]],IF((تسعير!T46="B"),Table12[[#This Row],[Column6]]))</f>
        <v>3.4</v>
      </c>
      <c r="B37" s="331">
        <v>1</v>
      </c>
      <c r="C37" s="342" t="s">
        <v>107</v>
      </c>
      <c r="D37" s="331">
        <f>Sheet2!B27</f>
        <v>410</v>
      </c>
      <c r="E37" s="353">
        <f>Table12[[#This Row],[سعر]]*Table12[[#This Row],[ميزان]]*Table12[[#This Row],[عدد]]</f>
        <v>1394</v>
      </c>
      <c r="F37" s="323">
        <f>ROUND((Table12[[#This Row],[Column7]]*1.8),1)</f>
        <v>6.1</v>
      </c>
      <c r="G37" s="354">
        <f>ROUND((F29+F30+F28+F48+F52)*0.4,1)</f>
        <v>3.4</v>
      </c>
      <c r="I37" s="212">
        <v>3</v>
      </c>
      <c r="J37" s="382" t="s">
        <v>146</v>
      </c>
      <c r="K37" s="211">
        <f>IF((Table161243[[#This Row],[موقع العمل]]="المصنع"),200,IF((Table161243[[#This Row],[موقع العمل]]="الاسكندرية"),200,250))</f>
        <v>250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7" s="240">
        <f>Table161243[[#This Row],[الايام]]*Q37</f>
        <v>975</v>
      </c>
      <c r="S37" s="241" t="e">
        <f t="shared" si="2"/>
        <v>#DIV/0!</v>
      </c>
      <c r="U37" s="388"/>
    </row>
    <row r="38" ht="35.25" customHeight="1">
      <c r="A38" s="352">
        <f>IF((تسعير!T46="A"),Table12[[#This Row],[Column7]],IF((تسعير!T46="B"),Table12[[#This Row],[Column6]]))</f>
        <v>3.4</v>
      </c>
      <c r="B38" s="331">
        <v>1</v>
      </c>
      <c r="C38" s="342" t="s">
        <v>106</v>
      </c>
      <c r="D38" s="331">
        <f>Sheet2!B26</f>
        <v>210</v>
      </c>
      <c r="E38" s="353">
        <f>Table12[[#This Row],[سعر]]*Table12[[#This Row],[ميزان]]*Table12[[#This Row],[عدد]]</f>
        <v>714</v>
      </c>
      <c r="F38" s="323">
        <f>ROUND((Table12[[#This Row],[Column7]]*1.8),1)</f>
        <v>6.1</v>
      </c>
      <c r="G38" s="354">
        <f>ROUND((F29+F30+F28+F48+F52)*0.4,1)</f>
        <v>3.4</v>
      </c>
      <c r="I38" s="212">
        <v>0</v>
      </c>
      <c r="J38" s="382" t="s">
        <v>147</v>
      </c>
      <c r="K38" s="211">
        <f>IF((Table161243[[#This Row],[موقع العمل]]="المصنع"),200,IF((Table161243[[#This Row],[موقع العمل]]="الاسكندرية"),200,250))</f>
        <v>250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8"/>
    </row>
    <row r="39" ht="35.25" customHeight="1">
      <c r="A39" s="352">
        <f>IF((تسعير!T46="A"),Table12[[#This Row],[Column7]],IF((تسعير!T46="B"),Table12[[#This Row],[Column6]]))</f>
        <v>3.4</v>
      </c>
      <c r="B39" s="331">
        <v>1</v>
      </c>
      <c r="C39" s="342" t="s">
        <v>45</v>
      </c>
      <c r="D39" s="331">
        <f>Sheet2!B26</f>
        <v>210</v>
      </c>
      <c r="E39" s="353">
        <f>Table12[[#This Row],[سعر]]*Table12[[#This Row],[ميزان]]*Table12[[#This Row],[عدد]]</f>
        <v>714</v>
      </c>
      <c r="F39" s="323">
        <f>ROUND((Table12[[#This Row],[Column7]]*1.8),1)</f>
        <v>6.1</v>
      </c>
      <c r="G39" s="354">
        <f>ROUND((F29+F30+F28+F48+F52)*0.4,1)</f>
        <v>3.4</v>
      </c>
      <c r="I39" s="212">
        <f>(I35+I36+I37+I38)*2</f>
        <v>20</v>
      </c>
      <c r="J39" s="382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88"/>
    </row>
    <row r="40" ht="35.25" customHeight="1">
      <c r="A40" s="352">
        <f>ROUND((F29+F30)*0.4/3,0)</f>
        <v>0</v>
      </c>
      <c r="B40" s="331">
        <v>1</v>
      </c>
      <c r="C40" s="342" t="s">
        <v>103</v>
      </c>
      <c r="D40" s="331">
        <f>Sheet2!B24</f>
        <v>325</v>
      </c>
      <c r="E40" s="353">
        <f>Table12[[#This Row],[سعر]]*Table12[[#This Row],[ميزان]]*Table12[[#This Row],[عدد]]</f>
        <v>0</v>
      </c>
      <c r="I40" s="212">
        <f>((P35+P36+P37+P38)*2)-2</f>
        <v>6</v>
      </c>
      <c r="J40" s="382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8"/>
    </row>
    <row r="41" ht="35.25" customHeight="1">
      <c r="A41" s="352">
        <f>ROUND((F29+F30)*0.4,0)</f>
        <v>1</v>
      </c>
      <c r="B41" s="331">
        <v>1</v>
      </c>
      <c r="C41" s="342" t="s">
        <v>108</v>
      </c>
      <c r="D41" s="331">
        <f>Sheet2!B48</f>
        <v>20</v>
      </c>
      <c r="E41" s="353">
        <f>Table12[[#This Row],[سعر]]*Table12[[#This Row],[ميزان]]*Table12[[#This Row],[عدد]]</f>
        <v>20</v>
      </c>
      <c r="I41" s="212">
        <v>2</v>
      </c>
      <c r="J41" s="382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88"/>
    </row>
    <row r="42" ht="35.25" customHeight="1">
      <c r="A42" s="352">
        <f>ROUND((F29+F30)*0.4,0)</f>
        <v>1</v>
      </c>
      <c r="B42" s="331">
        <v>1</v>
      </c>
      <c r="C42" s="342" t="s">
        <v>110</v>
      </c>
      <c r="D42" s="331">
        <f>Sheet2!B48</f>
        <v>20</v>
      </c>
      <c r="E42" s="353">
        <f>Table12[[#This Row],[سعر]]*Table12[[#This Row],[ميزان]]*Table12[[#This Row],[عدد]]</f>
        <v>20</v>
      </c>
      <c r="I42" s="212">
        <v>2</v>
      </c>
      <c r="J42" s="382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2300</v>
      </c>
      <c r="P42" s="247"/>
      <c r="Q42" s="243">
        <f>Table161243[[#This Row],[Column12]]</f>
        <v>2300</v>
      </c>
      <c r="R42" s="240">
        <f t="shared" si="3"/>
        <v>4600</v>
      </c>
      <c r="S42" s="241" t="e">
        <f t="shared" si="2"/>
        <v>#DIV/0!</v>
      </c>
      <c r="U42" s="388"/>
    </row>
    <row r="43" ht="35.25" customHeight="1">
      <c r="A43" s="352">
        <f>ROUND((F29+F30)*0.4,0)</f>
        <v>1</v>
      </c>
      <c r="B43" s="331">
        <v>1</v>
      </c>
      <c r="C43" s="342" t="s">
        <v>111</v>
      </c>
      <c r="D43" s="331">
        <v>25</v>
      </c>
      <c r="E43" s="353">
        <f>Table12[[#This Row],[سعر]]*Table12[[#This Row],[ميزان]]*Table12[[#This Row],[عدد]]</f>
        <v>25</v>
      </c>
      <c r="I43" s="212">
        <f>I40</f>
        <v>6</v>
      </c>
      <c r="J43" s="382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8"/>
    </row>
    <row r="44" ht="35.25" customHeight="1">
      <c r="A44" s="352">
        <f>ROUND((F29+F30)*0.4,0)</f>
        <v>1</v>
      </c>
      <c r="B44" s="331">
        <v>1</v>
      </c>
      <c r="C44" s="342" t="s">
        <v>113</v>
      </c>
      <c r="D44" s="331">
        <f>Sheet2!B48</f>
        <v>20</v>
      </c>
      <c r="E44" s="353">
        <f>Table12[[#This Row],[سعر]]*Table12[[#This Row],[ميزان]]*Table12[[#This Row],[عدد]]</f>
        <v>20</v>
      </c>
      <c r="I44" s="522"/>
      <c r="J44" s="523" t="s">
        <v>58</v>
      </c>
      <c r="K44" s="521"/>
      <c r="L44" s="521"/>
      <c r="M44" s="524"/>
      <c r="N44" s="524"/>
      <c r="O44" s="525">
        <f>SUBTOTAL(109,Table161243[Column12])</f>
        <v>4290</v>
      </c>
      <c r="P44" s="521"/>
      <c r="Q44" s="526"/>
      <c r="R44" s="527">
        <f>SUBTOTAL(109,Table161243[اجمالي])</f>
        <v>18845</v>
      </c>
      <c r="S44" s="528" t="e">
        <f>Table161243[[#Totals],[اجمالي]]/$G$84</f>
        <v>#DIV/0!</v>
      </c>
      <c r="U44" s="388"/>
    </row>
    <row r="45" ht="35.25" customHeight="1">
      <c r="A45" s="352">
        <f>ROUND((F29+F30)*0.4/3,0)</f>
        <v>0</v>
      </c>
      <c r="B45" s="331">
        <v>1</v>
      </c>
      <c r="C45" s="342" t="s">
        <v>114</v>
      </c>
      <c r="D45" s="331">
        <v>40</v>
      </c>
      <c r="E45" s="353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8"/>
    </row>
    <row r="46" ht="25.5" customHeight="1">
      <c r="A46" s="352">
        <f>IF((تسعير!T46="A"),0,IF((تسعير!T46="B"),(G52+G48+G30+G29+G28)))</f>
        <v>0</v>
      </c>
      <c r="B46" s="331">
        <v>1</v>
      </c>
      <c r="C46" s="342" t="s">
        <v>132</v>
      </c>
      <c r="D46" s="331">
        <v>20</v>
      </c>
      <c r="E46" s="324">
        <f>Table12[[#This Row],[سعر]]*Table12[[#This Row],[ميزان]]*Table12[[#This Row],[عدد]]</f>
        <v>0</v>
      </c>
      <c r="U46" s="388"/>
    </row>
    <row r="47" ht="25.5" customHeight="1">
      <c r="A47" s="352">
        <f>IF((تسعير!T53="بالتات"),0,(A28+A29))</f>
        <v>2</v>
      </c>
      <c r="B47" s="331">
        <v>1</v>
      </c>
      <c r="C47" s="342" t="s">
        <v>546</v>
      </c>
      <c r="D47" s="331">
        <f>Sheet2!B49</f>
        <v>1200</v>
      </c>
      <c r="E47" s="353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88"/>
    </row>
    <row r="48" ht="25.5" customHeight="1">
      <c r="A48" s="352">
        <f>IF((تسعير!T53="بالتات"),(A28+A29),0)</f>
        <v>0</v>
      </c>
      <c r="B48" s="331">
        <v>30</v>
      </c>
      <c r="C48" s="342" t="s">
        <v>547</v>
      </c>
      <c r="D48" s="331">
        <f>Sheet2!B12/1000</f>
        <v>75</v>
      </c>
      <c r="E48" s="353">
        <f>Table12[[#This Row],[سعر]]*Table12[[#This Row],[ميزان]]*Table12[[#This Row],[عدد]]</f>
        <v>0</v>
      </c>
      <c r="F48" s="323">
        <f>0.5*0.5*Table12[[#This Row],[عدد]]</f>
        <v>0</v>
      </c>
      <c r="G48" s="323">
        <f>Table12[[#This Row],[ميزان]]*Table12[[#This Row],[عدد]]</f>
        <v>0</v>
      </c>
      <c r="J48" s="213" t="s">
        <v>548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8"/>
    </row>
    <row r="49" ht="25.5" customHeight="1">
      <c r="A49" s="352">
        <f>A48*2</f>
        <v>0</v>
      </c>
      <c r="B49" s="331">
        <v>1</v>
      </c>
      <c r="C49" s="342" t="s">
        <v>549</v>
      </c>
      <c r="D49" s="331">
        <v>250</v>
      </c>
      <c r="E49" s="353">
        <f>Table12[[#This Row],[سعر]]*Table12[[#This Row],[ميزان]]*Table12[[#This Row],[عدد]]</f>
        <v>0</v>
      </c>
      <c r="J49" s="383" t="s">
        <v>550</v>
      </c>
      <c r="K49" s="214"/>
      <c r="L49" s="211"/>
      <c r="M49" s="290"/>
      <c r="N49" s="291">
        <f>Table12[[#Totals],[Column5]]+Table161243[[#Totals],[اجمالي]]</f>
        <v>61116</v>
      </c>
      <c r="U49" s="388"/>
    </row>
    <row r="50" ht="25.5" customHeight="1">
      <c r="A50" s="352">
        <f>A47*2</f>
        <v>4</v>
      </c>
      <c r="B50" s="331">
        <v>10</v>
      </c>
      <c r="C50" s="342" t="s">
        <v>551</v>
      </c>
      <c r="D50" s="331">
        <f>Sheet2!B12/1000</f>
        <v>75</v>
      </c>
      <c r="E50" s="353">
        <f>Table12[[#This Row],[سعر]]*Table12[[#This Row],[ميزان]]*Table12[[#This Row],[عدد]]</f>
        <v>3000</v>
      </c>
      <c r="J50" s="213" t="s">
        <v>155</v>
      </c>
      <c r="K50" s="214"/>
      <c r="L50" s="211"/>
      <c r="M50" s="290"/>
      <c r="N50" s="291">
        <f>N49+N48</f>
        <v>61116</v>
      </c>
      <c r="U50" s="388"/>
    </row>
    <row r="51" ht="25.5" customHeight="1">
      <c r="A51" s="352">
        <f>ROUND((F29+F30)*0.4/3,0)</f>
        <v>0</v>
      </c>
      <c r="B51" s="331">
        <v>1</v>
      </c>
      <c r="C51" s="342" t="s">
        <v>81</v>
      </c>
      <c r="D51" s="331">
        <f>Sheet2!B28</f>
        <v>400</v>
      </c>
      <c r="E51" s="353">
        <f>Table12[[#This Row],[سعر]]*Table12[[#This Row],[ميزان]]*Table12[[#This Row],[عدد]]</f>
        <v>0</v>
      </c>
      <c r="J51" s="213" t="s">
        <v>156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79450.8</v>
      </c>
      <c r="U51" s="388"/>
    </row>
    <row r="52" ht="25.5" customHeight="1">
      <c r="A52" s="352">
        <f>A48*4</f>
        <v>0</v>
      </c>
      <c r="B52" s="331">
        <v>1</v>
      </c>
      <c r="C52" s="342" t="s">
        <v>552</v>
      </c>
      <c r="D52" s="331">
        <f>Sheet2!B12/1000</f>
        <v>75</v>
      </c>
      <c r="E52" s="353">
        <f>Table12[[#This Row],[سعر]]*Table12[[#This Row],[ميزان]]*Table12[[#This Row],[عدد]]</f>
        <v>0</v>
      </c>
      <c r="F52" s="323">
        <f>0.15*0.15/2*Table12[[#This Row],[عدد]]</f>
        <v>0</v>
      </c>
      <c r="G52" s="323">
        <f>Table12[[#This Row],[ميزان]]*Table12[[#This Row],[عدد]]</f>
        <v>0</v>
      </c>
      <c r="U52" s="388"/>
    </row>
    <row r="53" ht="25.5" customHeight="1">
      <c r="A53" s="352">
        <f>ROUND((F29+F30)*0.4/3,0)</f>
        <v>0</v>
      </c>
      <c r="B53" s="331">
        <v>1</v>
      </c>
      <c r="C53" s="342" t="s">
        <v>553</v>
      </c>
      <c r="D53" s="331">
        <v>200</v>
      </c>
      <c r="E53" s="353">
        <f>Table12[[#This Row],[سعر]]*Table12[[#This Row],[ميزان]]*Table12[[#This Row],[عدد]]</f>
        <v>0</v>
      </c>
      <c r="U53" s="388"/>
    </row>
    <row r="54">
      <c r="A54" s="355" t="s">
        <v>58</v>
      </c>
      <c r="E54" s="353">
        <f>SUBTOTAL(109,Table12[Column5])</f>
        <v>42271</v>
      </c>
      <c r="F54" s="356">
        <f>Table12[[#Totals],[Column5]]/(تسعير!T54*تسعير!T55/10000)</f>
        <v>1690.84</v>
      </c>
      <c r="G54" s="323">
        <f>SUBTOTAL(103,Table12[Column7])</f>
        <v>8</v>
      </c>
      <c r="U54" s="388"/>
    </row>
    <row r="55">
      <c r="A55" s="357"/>
      <c r="U55" s="388"/>
    </row>
    <row r="56">
      <c r="A56" s="357"/>
      <c r="U56" s="388"/>
    </row>
    <row r="57">
      <c r="A57" s="357"/>
      <c r="U57" s="388"/>
    </row>
    <row r="58">
      <c r="A58" s="358"/>
      <c r="B58" s="359"/>
      <c r="C58" s="359"/>
      <c r="D58" s="359"/>
      <c r="E58" s="360"/>
      <c r="F58" s="359"/>
      <c r="G58" s="359"/>
      <c r="H58" s="359"/>
      <c r="I58" s="359"/>
      <c r="J58" s="359"/>
      <c r="K58" s="359"/>
      <c r="L58" s="384"/>
      <c r="M58" s="384"/>
      <c r="N58" s="384"/>
      <c r="O58" s="384"/>
      <c r="P58" s="384"/>
      <c r="Q58" s="384"/>
      <c r="R58" s="384"/>
      <c r="S58" s="384"/>
      <c r="T58" s="384"/>
      <c r="U58" s="389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62"/>
      <c r="M59" s="362"/>
      <c r="N59" s="362"/>
      <c r="O59" s="362"/>
      <c r="P59" s="363"/>
      <c r="R59" s="343"/>
    </row>
    <row r="60">
      <c r="A60" s="347" t="s">
        <v>28</v>
      </c>
      <c r="B60" s="348" t="s">
        <v>475</v>
      </c>
      <c r="C60" s="348" t="s">
        <v>29</v>
      </c>
      <c r="D60" s="348" t="s">
        <v>535</v>
      </c>
      <c r="E60" s="349" t="s">
        <v>447</v>
      </c>
      <c r="F60" s="348" t="s">
        <v>536</v>
      </c>
      <c r="G60" s="348" t="s">
        <v>441</v>
      </c>
      <c r="H60" s="348"/>
      <c r="I60" s="348"/>
      <c r="J60" s="348"/>
      <c r="K60" s="348"/>
      <c r="L60" s="381"/>
      <c r="M60" s="381"/>
      <c r="N60" s="381"/>
      <c r="O60" s="381"/>
      <c r="P60" s="381"/>
      <c r="Q60" s="381"/>
      <c r="R60" s="381"/>
      <c r="S60" s="381"/>
      <c r="T60" s="381"/>
    </row>
    <row r="61" ht="18.75">
      <c r="A61" s="361">
        <f>IF((تسعير!T71="بالتات"),0,(تسعير!T65+1))</f>
        <v>2</v>
      </c>
      <c r="B61" s="331">
        <v>78</v>
      </c>
      <c r="C61" s="342" t="s">
        <v>537</v>
      </c>
      <c r="D61" s="331">
        <f>Sheet2!$B$12/1000</f>
        <v>75</v>
      </c>
      <c r="E61" s="324">
        <f>Table1257[[#This Row],[سعر]]*Table1257[[#This Row],[ميزان]]*Table1257[[#This Row],[عدد]]</f>
        <v>11700</v>
      </c>
      <c r="F61" s="323">
        <f>16*3.14*Table1257[[#This Row],[عدد]]*0.05</f>
        <v>5.0240000000000009</v>
      </c>
      <c r="G61" s="323">
        <f>Table1257[[#This Row],[ميزان]]*Table1257[[#This Row],[عدد]]</f>
        <v>156</v>
      </c>
    </row>
    <row r="62" ht="18.75">
      <c r="A62" s="361">
        <f>IF((تسعير!T71="بالتات"),(تسعير!T65+1),0)</f>
        <v>0</v>
      </c>
      <c r="B62" s="331">
        <v>62</v>
      </c>
      <c r="C62" s="342" t="s">
        <v>538</v>
      </c>
      <c r="D62" s="331">
        <f>Sheet2!$B$12/1000</f>
        <v>75</v>
      </c>
      <c r="E62" s="324">
        <f>Table1257[[#This Row],[سعر]]*Table1257[[#This Row],[ميزان]]*Table1257[[#This Row],[عدد]]</f>
        <v>0</v>
      </c>
      <c r="F62" s="351">
        <f>16*3.14*Table1257[[#This Row],[عدد]]*0.04</f>
        <v>0</v>
      </c>
      <c r="G62" s="323">
        <f>Table1257[[#This Row],[ميزان]]*Table1257[[#This Row],[عدد]]</f>
        <v>0</v>
      </c>
      <c r="I62" s="216"/>
      <c r="J62" s="216"/>
      <c r="K62" s="217"/>
      <c r="L62" s="629" t="s">
        <v>133</v>
      </c>
      <c r="M62" s="629"/>
      <c r="N62" s="629"/>
      <c r="O62" s="629"/>
      <c r="P62" s="629"/>
      <c r="Q62" s="629"/>
      <c r="R62" s="216"/>
      <c r="S62" s="216"/>
      <c r="T62" s="216"/>
    </row>
    <row r="63" ht="18.75">
      <c r="A63" s="361">
        <f>A61+A62</f>
        <v>2</v>
      </c>
      <c r="B63" s="331">
        <v>28</v>
      </c>
      <c r="C63" s="342" t="s">
        <v>539</v>
      </c>
      <c r="D63" s="331">
        <f>Sheet2!$B$12/1000</f>
        <v>75</v>
      </c>
      <c r="E63" s="324">
        <f>Table1257[[#This Row],[سعر]]*Table1257[[#This Row],[ميزان]]*Table1257[[#This Row],[عدد]]</f>
        <v>4200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61">
        <f>A63+تسعير!T65*4</f>
        <v>6</v>
      </c>
      <c r="B64" s="331">
        <v>15</v>
      </c>
      <c r="C64" s="342" t="s">
        <v>541</v>
      </c>
      <c r="D64" s="331">
        <f>(Sheet2!B12/1000)+12</f>
        <v>87</v>
      </c>
      <c r="E64" s="324">
        <f>Table1257[[#This Row],[سعر]]*Table1257[[#This Row],[ميزان]]*Table1257[[#This Row],[عدد]]</f>
        <v>7830</v>
      </c>
      <c r="F64" s="323">
        <f>16*3.14*Table1257[[#This Row],[عدد]]</f>
        <v>301.44</v>
      </c>
      <c r="I64" s="212">
        <v>4</v>
      </c>
      <c r="J64" s="382" t="s">
        <v>139</v>
      </c>
      <c r="K64" s="211">
        <f>IF((Table16124360[[#This Row],[موقع العمل]]="المصنع"),200,IF((Table16124360[[#This Row],[موقع العمل]]="الاسكندرية"),200,250))</f>
        <v>200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4" s="240">
        <f>Table16124360[[#This Row],[عدد]]*Q64</f>
        <v>800</v>
      </c>
      <c r="S64" s="241" t="e">
        <f ref="S64:S76" t="shared" si="5">(R64)/$G$84</f>
        <v>#DIV/0!</v>
      </c>
    </row>
    <row r="65" ht="21">
      <c r="A65" s="361">
        <f>تسعير!T65*4</f>
        <v>4</v>
      </c>
      <c r="B65" s="331">
        <v>23</v>
      </c>
      <c r="C65" s="342" t="s">
        <v>554</v>
      </c>
      <c r="D65" s="331">
        <f>(Sheet2!B12/1000)+12</f>
        <v>87</v>
      </c>
      <c r="E65" s="324">
        <f>Table1257[[#This Row],[سعر]]*Table1257[[#This Row],[ميزان]]*Table1257[[#This Row],[عدد]]</f>
        <v>8004</v>
      </c>
      <c r="I65" s="212">
        <v>2</v>
      </c>
      <c r="J65" s="382" t="s">
        <v>141</v>
      </c>
      <c r="K65" s="211">
        <f>IF((Table16124360[[#This Row],[موقع العمل]]="المصنع"),200,IF((Table16124360[[#This Row],[موقع العمل]]="الاسكندرية"),200,250))</f>
        <v>200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5" s="240">
        <f>Table16124360[[#This Row],[عدد]]*Q65</f>
        <v>400</v>
      </c>
      <c r="S65" s="241" t="e">
        <f t="shared" si="5"/>
        <v>#DIV/0!</v>
      </c>
    </row>
    <row r="66" ht="21">
      <c r="A66" s="361">
        <f>A63</f>
        <v>2</v>
      </c>
      <c r="B66" s="331">
        <v>1</v>
      </c>
      <c r="C66" s="342" t="s">
        <v>245</v>
      </c>
      <c r="D66" s="331">
        <f>Sheet2!B50</f>
        <v>150</v>
      </c>
      <c r="E66" s="324">
        <f>Table1257[[#This Row],[سعر]]*Table1257[[#This Row],[ميزان]]*Table1257[[#This Row],[عدد]]</f>
        <v>300</v>
      </c>
      <c r="I66" s="212">
        <v>3</v>
      </c>
      <c r="J66" s="382" t="s">
        <v>142</v>
      </c>
      <c r="K66" s="211">
        <f>IF((Table16124360[[#This Row],[موقع العمل]]="المصنع"),200,IF((Table16124360[[#This Row],[موقع العمل]]="الاسكندرية"),200,250))</f>
        <v>200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6" s="240">
        <f>Table16124360[[#This Row],[عدد]]*Q66</f>
        <v>600</v>
      </c>
      <c r="S66" s="241" t="e">
        <f t="shared" si="5"/>
        <v>#DIV/0!</v>
      </c>
    </row>
    <row r="67" ht="21">
      <c r="A67" s="361">
        <f>(A64+A65)*2</f>
        <v>20</v>
      </c>
      <c r="B67" s="331">
        <v>1</v>
      </c>
      <c r="C67" s="342" t="s">
        <v>543</v>
      </c>
      <c r="D67" s="331">
        <f>Sheet2!B51</f>
        <v>150</v>
      </c>
      <c r="E67" s="324">
        <f>Table1257[[#This Row],[سعر]]*Table1257[[#This Row],[ميزان]]*Table1257[[#This Row],[عدد]]</f>
        <v>3000</v>
      </c>
      <c r="I67" s="212">
        <v>0</v>
      </c>
      <c r="J67" s="382" t="s">
        <v>143</v>
      </c>
      <c r="K67" s="211">
        <f>IF((Table16124360[[#This Row],[موقع العمل]]="المصنع"),200,IF((Table16124360[[#This Row],[موقع العمل]]="الاسكندرية"),200,250))</f>
        <v>200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61">
        <f>تسعير!T65*4</f>
        <v>4</v>
      </c>
      <c r="B68" s="331">
        <v>1</v>
      </c>
      <c r="C68" s="342" t="s">
        <v>544</v>
      </c>
      <c r="D68" s="331">
        <f>Sheet2!B53</f>
        <v>100</v>
      </c>
      <c r="E68" s="324">
        <f>Table1257[[#This Row],[سعر]]*Table1257[[#This Row],[ميزان]]*Table1257[[#This Row],[عدد]]</f>
        <v>400</v>
      </c>
      <c r="I68" s="212">
        <v>4</v>
      </c>
      <c r="J68" s="382" t="s">
        <v>144</v>
      </c>
      <c r="K68" s="211">
        <f>IF((Table16124360[[#This Row],[موقع العمل]]="المصنع"),200,IF((Table16124360[[#This Row],[موقع العمل]]="الاسكندرية"),200,250))</f>
        <v>250</v>
      </c>
      <c r="L68" s="211">
        <f>SUMIF(Table17[Column1],Table16124360[[#This Row],[موقع العمل]],Table17[بدل الوجبة])</f>
        <v>100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1050</v>
      </c>
      <c r="R68" s="240">
        <f>Table16124360[[#This Row],[عدد]]*Q68</f>
        <v>4200</v>
      </c>
      <c r="S68" s="241" t="e">
        <f t="shared" si="5"/>
        <v>#DIV/0!</v>
      </c>
    </row>
    <row r="69" ht="21">
      <c r="A69" s="361">
        <f>تسعير!T65</f>
        <v>1</v>
      </c>
      <c r="B69" s="331">
        <v>1</v>
      </c>
      <c r="C69" s="342" t="s">
        <v>509</v>
      </c>
      <c r="D69" s="331">
        <f>Sheet2!B52</f>
        <v>250</v>
      </c>
      <c r="E69" s="324">
        <f>Table1257[[#This Row],[سعر]]*Table1257[[#This Row],[ميزان]]*Table1257[[#This Row],[عدد]]</f>
        <v>250</v>
      </c>
      <c r="F69" s="323">
        <f>16*3.14*Table1257[[#This Row],[عدد]]</f>
        <v>50.24</v>
      </c>
      <c r="I69" s="212">
        <v>3</v>
      </c>
      <c r="J69" s="382" t="s">
        <v>145</v>
      </c>
      <c r="K69" s="211">
        <f>IF((Table16124360[[#This Row],[موقع العمل]]="المصنع"),200,IF((Table16124360[[#This Row],[موقع العمل]]="الاسكندرية"),200,250))</f>
        <v>250</v>
      </c>
      <c r="L69" s="211">
        <f>SUMIF(Table17[Column1],Table16124360[[#This Row],[موقع العمل]],Table17[بدل الوجبة])</f>
        <v>100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700</v>
      </c>
      <c r="R69" s="240">
        <f>Table16124360[[#This Row],[عدد]]*Q69</f>
        <v>2100</v>
      </c>
      <c r="S69" s="241" t="e">
        <f t="shared" si="5"/>
        <v>#DIV/0!</v>
      </c>
    </row>
    <row r="70" ht="21">
      <c r="A70" s="361">
        <f>تسعير!T65*36</f>
        <v>36</v>
      </c>
      <c r="B70" s="331">
        <v>1</v>
      </c>
      <c r="C70" s="342" t="s">
        <v>545</v>
      </c>
      <c r="D70" s="331">
        <f>Sheet2!B47</f>
        <v>150</v>
      </c>
      <c r="E70" s="324">
        <f>Table1257[[#This Row],[سعر]]*Table1257[[#This Row],[ميزان]]*Table1257[[#This Row],[عدد]]</f>
        <v>5400</v>
      </c>
      <c r="I70" s="212">
        <v>3</v>
      </c>
      <c r="J70" s="382" t="s">
        <v>146</v>
      </c>
      <c r="K70" s="211">
        <f>IF((Table16124360[[#This Row],[موقع العمل]]="المصنع"),200,IF((Table16124360[[#This Row],[موقع العمل]]="الاسكندرية"),200,250))</f>
        <v>250</v>
      </c>
      <c r="L70" s="211">
        <f>SUMIF(Table17[Column1],Table16124360[[#This Row],[موقع العمل]],Table17[بدل الوجبة])</f>
        <v>100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350</v>
      </c>
      <c r="R70" s="240">
        <f>Table16124360[[#This Row],[عدد]]*Q70</f>
        <v>1050</v>
      </c>
      <c r="S70" s="241" t="e">
        <f t="shared" si="5"/>
        <v>#DIV/0!</v>
      </c>
    </row>
    <row r="71" ht="21">
      <c r="A71" s="392">
        <f>IF((تسعير!T64="A"),Table1257[[#This Row],[Column7]],IF((تسعير!T64="B"),Table1257[[#This Row],[Column6]]))</f>
        <v>3.4</v>
      </c>
      <c r="B71" s="331">
        <v>1</v>
      </c>
      <c r="C71" s="342" t="s">
        <v>107</v>
      </c>
      <c r="D71" s="331">
        <f>Sheet2!B27</f>
        <v>410</v>
      </c>
      <c r="E71" s="353">
        <f>Table1257[[#This Row],[سعر]]*Table1257[[#This Row],[ميزان]]*Table1257[[#This Row],[عدد]]</f>
        <v>1394</v>
      </c>
      <c r="F71" s="323">
        <f>ROUND((Table1257[[#This Row],[Column7]]*1.8),1)</f>
        <v>6.1</v>
      </c>
      <c r="G71" s="354">
        <f>ROUND((F62+F63+F61+F82+F86)*0.4,1)</f>
        <v>3.4</v>
      </c>
      <c r="I71" s="212">
        <v>0</v>
      </c>
      <c r="J71" s="382" t="s">
        <v>147</v>
      </c>
      <c r="K71" s="211">
        <f>IF((Table16124360[[#This Row],[موقع العمل]]="المصنع"),200,IF((Table16124360[[#This Row],[موقع العمل]]="الاسكندرية"),200,250))</f>
        <v>250</v>
      </c>
      <c r="L71" s="211">
        <f>SUMIF(Table17[Column1],Table16124360[[#This Row],[موقع العمل]],Table17[بدل الوجبة])</f>
        <v>100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92">
        <f>IF((تسعير!T64="A"),Table1257[[#This Row],[Column7]],IF((تسعير!T64="B"),Table1257[[#This Row],[Column6]]))</f>
        <v>3.4</v>
      </c>
      <c r="B72" s="331">
        <v>1</v>
      </c>
      <c r="C72" s="342" t="s">
        <v>106</v>
      </c>
      <c r="D72" s="331">
        <f>Sheet2!B26</f>
        <v>210</v>
      </c>
      <c r="E72" s="353">
        <f>Table1257[[#This Row],[سعر]]*Table1257[[#This Row],[ميزان]]*Table1257[[#This Row],[عدد]]</f>
        <v>714</v>
      </c>
      <c r="F72" s="323">
        <f>ROUND((Table1257[[#This Row],[Column7]]*1.8),1)</f>
        <v>6.1</v>
      </c>
      <c r="G72" s="354">
        <f>ROUND((F62+F63+F61+F82+F86)*0.4,1)</f>
        <v>3.4</v>
      </c>
      <c r="I72" s="212">
        <f>(I68+I69+I70+I71)*2</f>
        <v>20</v>
      </c>
      <c r="J72" s="382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92">
        <f>IF((تسعير!T64="A"),Table1257[[#This Row],[Column7]],IF((تسعير!T64="B"),Table1257[[#This Row],[Column6]]))</f>
        <v>3.4</v>
      </c>
      <c r="B73" s="331">
        <v>1</v>
      </c>
      <c r="C73" s="342" t="s">
        <v>45</v>
      </c>
      <c r="D73" s="331">
        <f>Sheet2!B25</f>
        <v>90</v>
      </c>
      <c r="E73" s="353">
        <f>Table1257[[#This Row],[سعر]]*Table1257[[#This Row],[ميزان]]*Table1257[[#This Row],[عدد]]</f>
        <v>306</v>
      </c>
      <c r="F73" s="323">
        <f>ROUND((Table1257[[#This Row],[Column7]]*1.8),1)</f>
        <v>6.1</v>
      </c>
      <c r="G73" s="354">
        <f>ROUND((F62+F63+F61+F82+F86)*0.4,1)</f>
        <v>3.4</v>
      </c>
      <c r="I73" s="212">
        <f>((P68+P69+P70+P71)*2)-2</f>
        <v>10</v>
      </c>
      <c r="J73" s="382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92">
        <f>ROUND((F62+F63)*0.4/3,0)</f>
        <v>0</v>
      </c>
      <c r="B74" s="331">
        <v>1</v>
      </c>
      <c r="C74" s="342" t="s">
        <v>103</v>
      </c>
      <c r="D74" s="331">
        <f>Sheet2!B24</f>
        <v>325</v>
      </c>
      <c r="E74" s="353">
        <f>Table1257[[#This Row],[سعر]]*Table1257[[#This Row],[ميزان]]*Table1257[[#This Row],[عدد]]</f>
        <v>0</v>
      </c>
      <c r="I74" s="212">
        <v>2</v>
      </c>
      <c r="J74" s="382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1300</v>
      </c>
      <c r="P74" s="247"/>
      <c r="Q74" s="243">
        <f>Table16124360[[#This Row],[Column12]]</f>
        <v>1300</v>
      </c>
      <c r="R74" s="240">
        <f t="shared" si="6"/>
        <v>2600</v>
      </c>
      <c r="S74" s="241" t="e">
        <f t="shared" si="5"/>
        <v>#DIV/0!</v>
      </c>
    </row>
    <row r="75" ht="21">
      <c r="A75" s="392">
        <f>ROUND((F62+F63)*0.4,0)</f>
        <v>1</v>
      </c>
      <c r="B75" s="331">
        <v>1</v>
      </c>
      <c r="C75" s="342" t="s">
        <v>108</v>
      </c>
      <c r="D75" s="331">
        <f>Sheet2!B48</f>
        <v>20</v>
      </c>
      <c r="E75" s="353">
        <f>Table1257[[#This Row],[سعر]]*Table1257[[#This Row],[ميزان]]*Table1257[[#This Row],[عدد]]</f>
        <v>20</v>
      </c>
      <c r="I75" s="212">
        <v>2</v>
      </c>
      <c r="J75" s="382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92">
        <f>ROUND((F62+F63)*0.4,0)</f>
        <v>1</v>
      </c>
      <c r="B76" s="331">
        <v>1</v>
      </c>
      <c r="C76" s="342" t="s">
        <v>110</v>
      </c>
      <c r="D76" s="331">
        <f>Sheet2!B48</f>
        <v>20</v>
      </c>
      <c r="E76" s="353">
        <f>Table1257[[#This Row],[سعر]]*Table1257[[#This Row],[ميزان]]*Table1257[[#This Row],[عدد]]</f>
        <v>20</v>
      </c>
      <c r="I76" s="212">
        <f>I73</f>
        <v>10</v>
      </c>
      <c r="J76" s="382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750</v>
      </c>
      <c r="P76" s="247"/>
      <c r="Q76" s="243">
        <f>Table16124360[[#This Row],[Column12]]</f>
        <v>750</v>
      </c>
      <c r="R76" s="240">
        <f t="shared" si="6"/>
        <v>7500</v>
      </c>
      <c r="S76" s="241" t="e">
        <f t="shared" si="5"/>
        <v>#DIV/0!</v>
      </c>
    </row>
    <row r="77" ht="18.75">
      <c r="A77" s="392">
        <f>ROUND((F62+F63)*0.4,0)</f>
        <v>1</v>
      </c>
      <c r="B77" s="331">
        <v>1</v>
      </c>
      <c r="C77" s="342" t="s">
        <v>111</v>
      </c>
      <c r="D77" s="331">
        <v>25</v>
      </c>
      <c r="E77" s="353">
        <f>Table1257[[#This Row],[سعر]]*Table1257[[#This Row],[ميزان]]*Table1257[[#This Row],[عدد]]</f>
        <v>25</v>
      </c>
      <c r="I77" s="522"/>
      <c r="J77" s="523" t="s">
        <v>58</v>
      </c>
      <c r="K77" s="521"/>
      <c r="L77" s="521"/>
      <c r="M77" s="524"/>
      <c r="N77" s="524"/>
      <c r="O77" s="525">
        <f>SUBTOTAL(109,Table16124360[Column12])</f>
        <v>4230</v>
      </c>
      <c r="P77" s="521"/>
      <c r="Q77" s="526"/>
      <c r="R77" s="527">
        <f>SUBTOTAL(109,Table16124360[اجمالي])</f>
        <v>25650</v>
      </c>
      <c r="S77" s="528" t="e">
        <f>Table16124360[[#Totals],[اجمالي]]/$G$84</f>
        <v>#DIV/0!</v>
      </c>
    </row>
    <row r="78" ht="18.75">
      <c r="A78" s="392">
        <f>ROUND((F62+F63)*0.4,0)</f>
        <v>1</v>
      </c>
      <c r="B78" s="331">
        <v>1</v>
      </c>
      <c r="C78" s="342" t="s">
        <v>113</v>
      </c>
      <c r="D78" s="331">
        <v>18</v>
      </c>
      <c r="E78" s="353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92">
        <f>ROUND((F62+F63)*0.4/3,0)</f>
        <v>0</v>
      </c>
      <c r="B79" s="331">
        <v>1</v>
      </c>
      <c r="C79" s="342" t="s">
        <v>114</v>
      </c>
      <c r="D79" s="331">
        <v>40</v>
      </c>
      <c r="E79" s="353">
        <f>Table1257[[#This Row],[سعر]]*Table1257[[#This Row],[ميزان]]*Table1257[[#This Row],[عدد]]</f>
        <v>0</v>
      </c>
    </row>
    <row r="80" ht="18.75">
      <c r="A80" s="392">
        <f>IF((تسعير!T64="A"),0,IF((تسعير!T64="B"),(G86+G82+G63+G62+G61)))</f>
        <v>0</v>
      </c>
      <c r="B80" s="331">
        <v>1</v>
      </c>
      <c r="C80" s="342" t="s">
        <v>132</v>
      </c>
      <c r="D80" s="331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92">
        <f>IF((تسعير!T71="بالتات"),0,(A61+A62))</f>
        <v>2</v>
      </c>
      <c r="B81" s="331">
        <v>1</v>
      </c>
      <c r="C81" s="342" t="s">
        <v>546</v>
      </c>
      <c r="D81" s="331">
        <f>Sheet2!B49</f>
        <v>1200</v>
      </c>
      <c r="E81" s="353">
        <f>Table1257[[#This Row],[سعر]]*Table1257[[#This Row],[ميزان]]*Table1257[[#This Row],[عدد]]</f>
        <v>2400</v>
      </c>
      <c r="J81" s="213" t="s">
        <v>548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92">
        <f>IF((تسعير!T71="بالتات"),(A61+A62),0)</f>
        <v>0</v>
      </c>
      <c r="B82" s="331">
        <v>30</v>
      </c>
      <c r="C82" s="342" t="s">
        <v>547</v>
      </c>
      <c r="D82" s="331">
        <f>Sheet2!B12/1000</f>
        <v>75</v>
      </c>
      <c r="E82" s="353">
        <f>Table1257[[#This Row],[سعر]]*Table1257[[#This Row],[ميزان]]*Table1257[[#This Row],[عدد]]</f>
        <v>0</v>
      </c>
      <c r="F82" s="323">
        <f>0.5*0.5*Table1257[[#This Row],[عدد]]</f>
        <v>0</v>
      </c>
      <c r="G82" s="323">
        <f>Table1257[[#This Row],[ميزان]]*Table1257[[#This Row],[عدد]]</f>
        <v>0</v>
      </c>
      <c r="J82" s="383" t="s">
        <v>550</v>
      </c>
      <c r="K82" s="214"/>
      <c r="L82" s="211"/>
      <c r="M82" s="290"/>
      <c r="N82" s="291">
        <f>Table1257[[#Totals],[Column5]]+Table16124360[[#Totals],[اجمالي]]</f>
        <v>73881</v>
      </c>
    </row>
    <row r="83" ht="18.75">
      <c r="A83" s="392">
        <f>A82*2</f>
        <v>0</v>
      </c>
      <c r="B83" s="331">
        <v>1</v>
      </c>
      <c r="C83" s="342" t="s">
        <v>549</v>
      </c>
      <c r="D83" s="331">
        <v>600</v>
      </c>
      <c r="E83" s="353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90"/>
      <c r="N83" s="291">
        <f>N82+N81</f>
        <v>73881</v>
      </c>
    </row>
    <row r="84" ht="18.75">
      <c r="A84" s="392">
        <f>A81*1.5</f>
        <v>3</v>
      </c>
      <c r="B84" s="331">
        <v>10</v>
      </c>
      <c r="C84" s="342" t="s">
        <v>551</v>
      </c>
      <c r="D84" s="331">
        <f>Sheet2!B12/1000</f>
        <v>75</v>
      </c>
      <c r="E84" s="353">
        <f>Table1257[[#This Row],[سعر]]*Table1257[[#This Row],[ميزان]]*Table1257[[#This Row],[عدد]]</f>
        <v>2250</v>
      </c>
      <c r="J84" s="213" t="s">
        <v>156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0.35</v>
      </c>
      <c r="N84" s="291">
        <f>N83*(1+Table185665[[#This Row],[Column3]])</f>
        <v>99739.35</v>
      </c>
    </row>
    <row r="85" ht="18.75">
      <c r="A85" s="392">
        <f>ROUND((F62+F63)*0.4/3,0)</f>
        <v>0</v>
      </c>
      <c r="B85" s="331">
        <v>1</v>
      </c>
      <c r="C85" s="342" t="s">
        <v>81</v>
      </c>
      <c r="D85" s="331">
        <f>Sheet2!B28</f>
        <v>400</v>
      </c>
      <c r="E85" s="353">
        <f>Table1257[[#This Row],[سعر]]*Table1257[[#This Row],[ميزان]]*Table1257[[#This Row],[عدد]]</f>
        <v>0</v>
      </c>
    </row>
    <row r="86" ht="18.75">
      <c r="A86" s="392">
        <f>A82*4</f>
        <v>0</v>
      </c>
      <c r="B86" s="331">
        <v>1</v>
      </c>
      <c r="C86" s="342" t="s">
        <v>552</v>
      </c>
      <c r="D86" s="331">
        <f>Sheet2!B12/1000</f>
        <v>75</v>
      </c>
      <c r="E86" s="353">
        <f>Table1257[[#This Row],[سعر]]*Table1257[[#This Row],[ميزان]]*Table1257[[#This Row],[عدد]]</f>
        <v>0</v>
      </c>
      <c r="F86" s="323">
        <f>0.15*0.15/2*Table1257[[#This Row],[عدد]]</f>
        <v>0</v>
      </c>
      <c r="G86" s="323">
        <f>Table1257[[#This Row],[ميزان]]*Table1257[[#This Row],[عدد]]</f>
        <v>0</v>
      </c>
    </row>
    <row r="87" ht="18.75">
      <c r="A87" s="392">
        <f>ROUND((F62+F63)*0.4/3,0)</f>
        <v>0</v>
      </c>
      <c r="B87" s="331">
        <v>1</v>
      </c>
      <c r="C87" s="342" t="s">
        <v>553</v>
      </c>
      <c r="D87" s="331">
        <v>200</v>
      </c>
      <c r="E87" s="353">
        <f>Table1257[[#This Row],[سعر]]*Table1257[[#This Row],[ميزان]]*Table1257[[#This Row],[عدد]]</f>
        <v>0</v>
      </c>
    </row>
    <row r="88">
      <c r="A88" s="355" t="s">
        <v>58</v>
      </c>
      <c r="E88" s="353">
        <f>SUBTOTAL(109,Table1257[Column5])</f>
        <v>48231</v>
      </c>
      <c r="F88" s="356" t="e">
        <f>Table1257[[#Totals],[Column5]]/(تسعير!S87*تسعير!S88/10000)</f>
        <v>#DIV/0!</v>
      </c>
      <c r="G88" s="323">
        <f>SUBTOTAL(103,Table1257[Column7])</f>
        <v>8</v>
      </c>
    </row>
    <row r="89">
      <c r="A89" s="357"/>
    </row>
    <row r="90">
      <c r="A90" s="357"/>
    </row>
    <row r="91">
      <c r="A91" s="357"/>
      <c r="H91" s="359"/>
      <c r="I91" s="359"/>
      <c r="J91" s="359"/>
      <c r="K91" s="359"/>
      <c r="L91" s="384"/>
      <c r="M91" s="384"/>
      <c r="N91" s="384"/>
      <c r="O91" s="384"/>
      <c r="P91" s="384"/>
      <c r="Q91" s="384"/>
      <c r="R91" s="384"/>
      <c r="S91" s="384"/>
      <c r="T91" s="384"/>
    </row>
    <row r="92">
      <c r="A92" s="358"/>
      <c r="B92" s="359"/>
      <c r="C92" s="359"/>
      <c r="D92" s="359"/>
      <c r="E92" s="360"/>
      <c r="F92" s="359"/>
      <c r="G92" s="359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5A96F7F5-D8FC-4701-AC1D-1317BE5C187A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opLeftCell="M1" zoomScale="25" zoomScaleNormal="25" workbookViewId="0">
      <selection activeCell="CH88" sqref="CH88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7" t="s">
        <v>555</v>
      </c>
      <c r="B1" s="548">
        <f>(F1*D1)/10000</f>
        <v>20</v>
      </c>
      <c r="C1" s="549" t="s">
        <v>424</v>
      </c>
      <c r="D1" s="550">
        <f>تسعير!AT34</f>
        <v>500</v>
      </c>
      <c r="E1" s="549" t="s">
        <v>125</v>
      </c>
      <c r="F1" s="550">
        <f>تسعير!AT33</f>
        <v>400</v>
      </c>
      <c r="G1" s="549" t="s">
        <v>173</v>
      </c>
      <c r="H1" s="550" t="str">
        <f>تسعير!AT26</f>
        <v>خشبي</v>
      </c>
      <c r="I1" s="551">
        <v>125000</v>
      </c>
      <c r="J1" s="551"/>
      <c r="K1" s="192"/>
      <c r="L1" s="623" t="s">
        <v>0</v>
      </c>
      <c r="M1" s="624"/>
      <c r="N1" s="625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556</v>
      </c>
      <c r="AW1" s="189">
        <f>(BA1*AY1)/10000</f>
        <v>20</v>
      </c>
      <c r="AX1" s="190" t="s">
        <v>424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23" t="s">
        <v>0</v>
      </c>
      <c r="BH1" s="624"/>
      <c r="BI1" s="625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52" t="s">
        <v>9</v>
      </c>
      <c r="B2" s="553" t="s">
        <v>28</v>
      </c>
      <c r="C2" s="553" t="s">
        <v>557</v>
      </c>
      <c r="D2" s="553" t="s">
        <v>30</v>
      </c>
      <c r="E2" s="553" t="s">
        <v>558</v>
      </c>
      <c r="F2" s="553" t="s">
        <v>559</v>
      </c>
      <c r="G2" s="543"/>
      <c r="H2" s="554" t="s">
        <v>560</v>
      </c>
      <c r="I2" s="554"/>
      <c r="J2" s="554" t="s">
        <v>561</v>
      </c>
      <c r="L2" s="626"/>
      <c r="M2" s="627"/>
      <c r="N2" s="628"/>
      <c r="O2" s="203"/>
      <c r="P2" s="204"/>
      <c r="Q2" s="228">
        <f>O2*P2</f>
        <v>0</v>
      </c>
      <c r="R2" s="229" t="e">
        <f>R69/Q2</f>
        <v>#DIV/0!</v>
      </c>
      <c r="S2" s="230">
        <f>Sheet2!B12</f>
        <v>75000</v>
      </c>
      <c r="T2" s="231">
        <f>Sheet2!B13</f>
        <v>75000</v>
      </c>
      <c r="U2" s="232">
        <f>Sheet2!B14</f>
        <v>230000</v>
      </c>
      <c r="V2" s="232">
        <f>Sheet2!B15</f>
        <v>50000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557</v>
      </c>
      <c r="AY2" s="194" t="s">
        <v>30</v>
      </c>
      <c r="AZ2" s="194" t="s">
        <v>558</v>
      </c>
      <c r="BA2" s="194" t="s">
        <v>559</v>
      </c>
      <c r="BC2" s="195" t="s">
        <v>560</v>
      </c>
      <c r="BD2" s="195"/>
      <c r="BE2" s="195" t="s">
        <v>561</v>
      </c>
      <c r="BG2" s="626"/>
      <c r="BH2" s="627"/>
      <c r="BI2" s="628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52" t="s">
        <v>562</v>
      </c>
      <c r="B3" s="555">
        <f>ROUNDUP((12+((ROUNDUP((D1-210),15))/15)),0)</f>
        <v>32</v>
      </c>
      <c r="C3" s="556">
        <f>F1-16.5</f>
        <v>383.5</v>
      </c>
      <c r="D3" s="553" t="s">
        <v>563</v>
      </c>
      <c r="E3" s="553">
        <v>2.3</v>
      </c>
      <c r="F3" s="553">
        <f>IF(($H$1="سادة"),(J3*H3*E3*($U$2+12000)/1000),(J3*H3*E3*($U$2+40000)/1000))</f>
        <v>79488</v>
      </c>
      <c r="G3" s="543"/>
      <c r="H3" s="554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7">
        <f ref="J3:J8" t="shared" si="1">B3/(ROUNDDOWN(I3,0))</f>
        <v>32</v>
      </c>
      <c r="L3" s="630" t="s">
        <v>17</v>
      </c>
      <c r="M3" s="631"/>
      <c r="N3" s="206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0</v>
      </c>
      <c r="O3" s="207"/>
      <c r="P3" s="207"/>
      <c r="Q3" s="234" t="s">
        <v>18</v>
      </c>
      <c r="R3" s="632">
        <f>NOW()</f>
        <v>45327.43737334491</v>
      </c>
      <c r="S3" s="633"/>
      <c r="T3" s="633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562</v>
      </c>
      <c r="AW3" s="196">
        <f>ROUNDUP((12+((ROUNDUP((AY1-210),18))/18)),0)</f>
        <v>23</v>
      </c>
      <c r="AX3" s="197">
        <f>BA1-16.5</f>
        <v>483.5</v>
      </c>
      <c r="AY3" s="194" t="s">
        <v>563</v>
      </c>
      <c r="AZ3" s="194">
        <v>2</v>
      </c>
      <c r="BA3" s="194">
        <f>IF((تسعير!$AT$46="سادة"),(BE3*BC3*AZ3*(Sheet2!$B$14+12000)/1000),(BE3*BC3*AZ3*(Sheet2!$B$14+Sheet2!$B$15)/1000))</f>
        <v>64400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30" t="s">
        <v>17</v>
      </c>
      <c r="BH3" s="631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32">
        <f>NOW()</f>
        <v>45327.43737334491</v>
      </c>
      <c r="BN3" s="633"/>
      <c r="BO3" s="633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52" t="s">
        <v>564</v>
      </c>
      <c r="B4" s="553">
        <v>2</v>
      </c>
      <c r="C4" s="555">
        <f>F1</f>
        <v>400</v>
      </c>
      <c r="D4" s="553" t="s">
        <v>563</v>
      </c>
      <c r="E4" s="553">
        <v>3.8</v>
      </c>
      <c r="F4" s="553">
        <f ref="F4:F8" t="shared" si="2">IF(($H$1="سادة"),(J4*H4*E4*($U$2+12000)/1000),(J4*H4*E4*($U$2+40000)/1000))</f>
        <v>10260</v>
      </c>
      <c r="G4" s="558"/>
      <c r="H4" s="554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7">
        <f t="shared" si="1"/>
        <v>2</v>
      </c>
      <c r="K4" s="1"/>
      <c r="L4" s="208"/>
      <c r="M4" s="208"/>
      <c r="N4" s="209"/>
      <c r="O4" s="629" t="s">
        <v>20</v>
      </c>
      <c r="P4" s="629"/>
      <c r="Q4" s="629"/>
      <c r="R4" s="629"/>
      <c r="S4" s="629"/>
      <c r="T4" s="629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447</v>
      </c>
      <c r="AT4" s="255"/>
      <c r="AU4" s="207"/>
      <c r="AV4" s="193" t="s">
        <v>565</v>
      </c>
      <c r="AW4" s="194">
        <v>2</v>
      </c>
      <c r="AX4" s="196">
        <f>BA1</f>
        <v>500</v>
      </c>
      <c r="AY4" s="194" t="s">
        <v>563</v>
      </c>
      <c r="AZ4" s="194">
        <v>1.7</v>
      </c>
      <c r="BA4" s="194">
        <f>IF((تسعير!$AT$46="سادة"),(BE4*BC4*AZ4*(Sheet2!$B$14+12000)/1000),(BE4*BC4*AZ4*(Sheet2!$B$14+Sheet2!$B$15)/1000))</f>
        <v>4760</v>
      </c>
      <c r="BC4" s="260">
        <f ref="BC4:BC5" t="shared" si="3">IF(AND((AX4&gt;=200),(AX4&lt;350)),5,IF(AND((AX4&gt;=350),(AX4&lt;400)),7,IF(AND((AX4&gt;=400),(AX4&lt;501)),5,IF(AND((AX4&gt;=501),(AX4&lt;701)),7,0))))</f>
        <v>5</v>
      </c>
      <c r="BD4" s="205">
        <f ref="BD4:BD5" t="shared" si="4">(BC4*100)/AX4</f>
        <v>1</v>
      </c>
      <c r="BE4" s="264">
        <f ref="BE4:BE5" t="shared" si="5">AW4/(ROUNDDOWN(BD4,0))</f>
        <v>2</v>
      </c>
      <c r="BG4" s="208"/>
      <c r="BH4" s="208"/>
      <c r="BI4" s="209"/>
      <c r="BJ4" s="629" t="s">
        <v>20</v>
      </c>
      <c r="BK4" s="629"/>
      <c r="BL4" s="629"/>
      <c r="BM4" s="629"/>
      <c r="BN4" s="629"/>
      <c r="BO4" s="629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447</v>
      </c>
      <c r="CO4" s="255"/>
    </row>
    <row r="5" ht="18.75" s="187" customFormat="1">
      <c r="A5" s="552" t="s">
        <v>566</v>
      </c>
      <c r="B5" s="553">
        <v>2</v>
      </c>
      <c r="C5" s="555">
        <f>D1</f>
        <v>500</v>
      </c>
      <c r="D5" s="553" t="s">
        <v>563</v>
      </c>
      <c r="E5" s="553">
        <v>3.8</v>
      </c>
      <c r="F5" s="553">
        <f t="shared" si="2"/>
        <v>10260</v>
      </c>
      <c r="G5" s="558"/>
      <c r="H5" s="554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7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567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7.2960000000000012</v>
      </c>
      <c r="AN5" s="207"/>
      <c r="AO5" s="207" t="s">
        <v>449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566</v>
      </c>
      <c r="AW5" s="194">
        <v>2</v>
      </c>
      <c r="AX5" s="196">
        <f>AY1</f>
        <v>400</v>
      </c>
      <c r="AY5" s="194" t="s">
        <v>563</v>
      </c>
      <c r="AZ5" s="194">
        <v>1.7</v>
      </c>
      <c r="BA5" s="194">
        <f>IF((تسعير!$AT$46="سادة"),(BE5*BC5*AZ5*(Sheet2!$B$14+12000)/1000),(BE5*BC5*AZ5*(Sheet2!$B$14+Sheet2!$B$15)/1000))</f>
        <v>4760</v>
      </c>
      <c r="BC5" s="261">
        <f t="shared" si="3"/>
        <v>5</v>
      </c>
      <c r="BD5" s="262">
        <f t="shared" si="4"/>
        <v>1.25</v>
      </c>
      <c r="BE5" s="265">
        <f t="shared" si="5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567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5" s="207"/>
      <c r="CJ5" s="207" t="s">
        <v>449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52" t="s">
        <v>568</v>
      </c>
      <c r="B6" s="553">
        <v>2</v>
      </c>
      <c r="C6" s="555">
        <f>F1</f>
        <v>400</v>
      </c>
      <c r="D6" s="553" t="s">
        <v>563</v>
      </c>
      <c r="E6" s="553">
        <v>1.7</v>
      </c>
      <c r="F6" s="553">
        <f t="shared" si="2"/>
        <v>4590</v>
      </c>
      <c r="G6" s="558"/>
      <c r="H6" s="554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7">
        <f t="shared" si="1"/>
        <v>2</v>
      </c>
      <c r="K6" s="1"/>
      <c r="L6" s="211">
        <v>1</v>
      </c>
      <c r="M6" s="212">
        <f>IF(OR((N3="a11"),(N3="a112"),(N3="a21"),(N3="a22"),(N3="a31"),(N3="a32")),1,2)</f>
        <v>2</v>
      </c>
      <c r="N6" s="213" t="s">
        <v>569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7.1999999999999993</v>
      </c>
      <c r="R6" s="211"/>
      <c r="S6" s="211">
        <v>57</v>
      </c>
      <c r="T6" s="211">
        <f>Table15880[[#This Row],[المسطح]]*Table15880[[#This Row],[عدد]]</f>
        <v>14.399999999999999</v>
      </c>
      <c r="U6" s="239">
        <f>S6*$S$2/1000</f>
        <v>4275</v>
      </c>
      <c r="V6" s="240">
        <f>M6*U6</f>
        <v>8550</v>
      </c>
      <c r="W6" s="241">
        <f>(V6)/$R$68</f>
        <v>0.042378867071620287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5.824</v>
      </c>
      <c r="AN6" s="216"/>
      <c r="AO6" s="216" t="s">
        <v>451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570</v>
      </c>
      <c r="AW6" s="194">
        <v>1</v>
      </c>
      <c r="AX6" s="194">
        <f>(15.6*(AW3-1)+4)</f>
        <v>347.2</v>
      </c>
      <c r="AY6" s="194" t="s">
        <v>563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571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4275</v>
      </c>
      <c r="BQ6" s="240">
        <f>BH6*BP6</f>
        <v>4275</v>
      </c>
      <c r="BR6" s="241">
        <f>(BQ6)/$R$68</f>
        <v>0.021189433535810143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6.7120000000000006</v>
      </c>
      <c r="CI6" s="216"/>
      <c r="CJ6" s="216" t="s">
        <v>451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52" t="s">
        <v>572</v>
      </c>
      <c r="B7" s="553">
        <v>2</v>
      </c>
      <c r="C7" s="555">
        <f>D1</f>
        <v>500</v>
      </c>
      <c r="D7" s="553" t="s">
        <v>563</v>
      </c>
      <c r="E7" s="553">
        <v>1.7</v>
      </c>
      <c r="F7" s="553">
        <f t="shared" si="2"/>
        <v>4590</v>
      </c>
      <c r="G7" s="558"/>
      <c r="H7" s="554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7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0</v>
      </c>
      <c r="N7" s="213" t="s">
        <v>573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0</v>
      </c>
      <c r="R7" s="211"/>
      <c r="S7" s="211">
        <v>37</v>
      </c>
      <c r="T7" s="211">
        <f>Table15880[[#This Row],[المسطح]]*Table15880[[#This Row],[عدد]]</f>
        <v>0</v>
      </c>
      <c r="U7" s="239">
        <f>S7*$S$2/1000</f>
        <v>2775</v>
      </c>
      <c r="V7" s="240">
        <f>M7*U7</f>
        <v>0</v>
      </c>
      <c r="W7" s="241">
        <f>(V7)/$R$68</f>
        <v>0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4.5600000000000005</v>
      </c>
      <c r="AN7" s="216"/>
      <c r="AO7" s="216" t="s">
        <v>453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574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573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2775</v>
      </c>
      <c r="BQ7" s="240">
        <f>BH7*BP7</f>
        <v>11100</v>
      </c>
      <c r="BR7" s="241">
        <f>(BQ7)/$R$68</f>
        <v>0.05501817830350704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6.7800000000000011</v>
      </c>
      <c r="CI7" s="216"/>
      <c r="CJ7" s="216" t="s">
        <v>453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52" t="s">
        <v>575</v>
      </c>
      <c r="B8" s="553">
        <v>2</v>
      </c>
      <c r="C8" s="553">
        <f>C3</f>
        <v>383.5</v>
      </c>
      <c r="D8" s="553" t="s">
        <v>563</v>
      </c>
      <c r="E8" s="553">
        <v>0.65</v>
      </c>
      <c r="F8" s="553">
        <f t="shared" si="2"/>
        <v>1404</v>
      </c>
      <c r="G8" s="558"/>
      <c r="H8" s="554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7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0</v>
      </c>
      <c r="N8" s="213" t="s">
        <v>576</v>
      </c>
      <c r="O8" s="214">
        <v>0.03</v>
      </c>
      <c r="P8" s="214">
        <v>0.03</v>
      </c>
      <c r="Q8" s="211">
        <f>(Table15880[[#This Row],[Column1]]+Table15880[[#This Row],[Column2]])*12*Table15880[[#This Row],[عدد]]</f>
        <v>0</v>
      </c>
      <c r="R8" s="211"/>
      <c r="S8" s="211">
        <v>5</v>
      </c>
      <c r="T8" s="211">
        <f>Table15880[[#This Row],[المسطح]]*Table15880[[#This Row],[عدد]]</f>
        <v>0</v>
      </c>
      <c r="U8" s="239">
        <f>S8*$S$2/1000</f>
        <v>375</v>
      </c>
      <c r="V8" s="240">
        <f>M8*U8</f>
        <v>0</v>
      </c>
      <c r="W8" s="241">
        <f>(V8)/$R$68</f>
        <v>0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7.2960000000000012</v>
      </c>
      <c r="AN8" s="216"/>
      <c r="AO8" s="216" t="s">
        <v>455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577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576</v>
      </c>
      <c r="BJ8" s="214">
        <v>0.03</v>
      </c>
      <c r="BK8" s="214">
        <v>0.03</v>
      </c>
      <c r="BL8" s="211">
        <f>(Table1588090[[#This Row],[Column1]]+Table1588090[[#This Row],[Column2]])*12*Table1588090[[#This Row],[عدد]]</f>
        <v>2.88</v>
      </c>
      <c r="BM8" s="211"/>
      <c r="BN8" s="211">
        <v>5</v>
      </c>
      <c r="BO8" s="211">
        <f>Table1588090[[#This Row],[المسطح]]*Table1588090[[#This Row],[عدد]]</f>
        <v>11.52</v>
      </c>
      <c r="BP8" s="239">
        <f>BN8*$S$2/1000</f>
        <v>375</v>
      </c>
      <c r="BQ8" s="240">
        <f>BH8*BP8</f>
        <v>1500</v>
      </c>
      <c r="BR8" s="241">
        <f>(BQ8)/$R$68</f>
        <v>0.0074348889599333834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8" s="216"/>
      <c r="CJ8" s="216" t="s">
        <v>455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52" t="s">
        <v>570</v>
      </c>
      <c r="B9" s="553">
        <v>2</v>
      </c>
      <c r="C9" s="553">
        <f>(15.6*(B3-1)+4)</f>
        <v>487.59999999999997</v>
      </c>
      <c r="D9" s="553" t="s">
        <v>563</v>
      </c>
      <c r="E9" s="553">
        <v>600</v>
      </c>
      <c r="F9" s="553">
        <f>E9*B9</f>
        <v>1200</v>
      </c>
      <c r="G9" s="558"/>
      <c r="H9" s="559"/>
      <c r="I9" s="543"/>
      <c r="J9" s="543"/>
      <c r="L9" s="211">
        <v>5</v>
      </c>
      <c r="M9" s="212">
        <v>0</v>
      </c>
      <c r="N9" s="213" t="s">
        <v>571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6300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457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578</v>
      </c>
      <c r="AW9" s="194">
        <v>1</v>
      </c>
      <c r="AX9" s="196">
        <v>100</v>
      </c>
      <c r="AY9" s="194" t="s">
        <v>563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571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6300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457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52" t="s">
        <v>574</v>
      </c>
      <c r="B10" s="553"/>
      <c r="C10" s="553">
        <f>B3*2</f>
        <v>64</v>
      </c>
      <c r="D10" s="553" t="s">
        <v>28</v>
      </c>
      <c r="E10" s="553">
        <v>17</v>
      </c>
      <c r="F10" s="553">
        <f>E10*C10</f>
        <v>1088</v>
      </c>
      <c r="G10" s="558"/>
      <c r="H10" s="559"/>
      <c r="I10" s="543"/>
      <c r="J10" s="543"/>
      <c r="L10" s="211">
        <v>5</v>
      </c>
      <c r="M10" s="212">
        <f>IF(OR((N3="B11"),(N3="B12"),(N3="B21"),(N3="B22"),(N3="B31"),(N3="B32")),3,0)</f>
        <v>0</v>
      </c>
      <c r="N10" s="215" t="s">
        <v>579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459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580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579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0" s="216"/>
      <c r="CJ10" s="216" t="s">
        <v>459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52" t="s">
        <v>577</v>
      </c>
      <c r="B11" s="553"/>
      <c r="C11" s="553">
        <f>B3*2</f>
        <v>64</v>
      </c>
      <c r="D11" s="553" t="s">
        <v>28</v>
      </c>
      <c r="E11" s="553">
        <v>12</v>
      </c>
      <c r="F11" s="553">
        <f>E11*C11</f>
        <v>768</v>
      </c>
      <c r="G11" s="558"/>
      <c r="H11" s="559"/>
      <c r="I11" s="543"/>
      <c r="J11" s="543"/>
      <c r="L11" s="211"/>
      <c r="M11" s="212"/>
      <c r="N11" s="213" t="s">
        <v>58</v>
      </c>
      <c r="O11" s="214"/>
      <c r="P11" s="214"/>
      <c r="Q11" s="216">
        <f>SUBTOTAL(109,Table15880[المسطح])</f>
        <v>7.1999999999999993</v>
      </c>
      <c r="R11" s="211"/>
      <c r="S11" s="211">
        <f>(S6*M6)+(S7*M7)+(M8*S8)+(S9*M9)</f>
        <v>114</v>
      </c>
      <c r="T11" s="211">
        <f>SUBTOTAL(109,Table15880[اجمالي المسطح])</f>
        <v>14.399999999999999</v>
      </c>
      <c r="U11" s="242"/>
      <c r="V11" s="240">
        <f>SUBTOTAL(109,Table15880[اجمالي])</f>
        <v>8550</v>
      </c>
      <c r="W11" s="244">
        <f>Table15880[[#Totals],[اجمالي]]/$R$68</f>
        <v>0.042378867071620287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461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581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16.080000000000002</v>
      </c>
      <c r="BM11" s="211"/>
      <c r="BN11" s="211">
        <f>(BN6*BH6)+(BN7*BG7)+(BN8*BG8)+(BN9*BG9)</f>
        <v>482</v>
      </c>
      <c r="BO11" s="211">
        <f>SUBTOTAL(109,Table1588090[اجمالي المسطح])</f>
        <v>53.52000000000001</v>
      </c>
      <c r="BP11" s="242"/>
      <c r="BQ11" s="240">
        <f>SUBTOTAL(109,Table1588090[اجمالي])</f>
        <v>16875</v>
      </c>
      <c r="BR11" s="244">
        <f>Table1588090[[#Totals],[اجمالي]]/$R$68</f>
        <v>0.083642500799250563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1" s="216"/>
      <c r="CJ11" s="216" t="s">
        <v>461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52" t="s">
        <v>578</v>
      </c>
      <c r="B12" s="553">
        <v>1</v>
      </c>
      <c r="C12" s="555">
        <v>100</v>
      </c>
      <c r="D12" s="553" t="s">
        <v>563</v>
      </c>
      <c r="E12" s="553">
        <v>150</v>
      </c>
      <c r="F12" s="553">
        <f>Table80102114[[#This Row],[wt/m]]*Table80102114[[#This Row],[عدد]]</f>
        <v>150</v>
      </c>
      <c r="G12" s="558"/>
      <c r="H12" s="559"/>
      <c r="I12" s="543"/>
      <c r="J12" s="560"/>
      <c r="L12" s="216"/>
      <c r="M12" s="216"/>
      <c r="N12" s="217"/>
      <c r="O12" s="629" t="s">
        <v>76</v>
      </c>
      <c r="P12" s="629"/>
      <c r="Q12" s="629"/>
      <c r="R12" s="629"/>
      <c r="S12" s="629"/>
      <c r="T12" s="629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463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582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29" t="s">
        <v>76</v>
      </c>
      <c r="BK12" s="629"/>
      <c r="BL12" s="629"/>
      <c r="BM12" s="629"/>
      <c r="BN12" s="629"/>
      <c r="BO12" s="629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2" s="216"/>
      <c r="CJ12" s="216" t="s">
        <v>463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52" t="s">
        <v>583</v>
      </c>
      <c r="B13" s="553"/>
      <c r="C13" s="553">
        <v>4</v>
      </c>
      <c r="D13" s="553" t="s">
        <v>369</v>
      </c>
      <c r="E13" s="553">
        <v>150</v>
      </c>
      <c r="F13" s="553">
        <f>C13*E13</f>
        <v>600</v>
      </c>
      <c r="G13" s="558"/>
      <c r="H13" s="543"/>
      <c r="I13" s="558"/>
      <c r="J13" s="558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184</v>
      </c>
      <c r="AW13" s="194" t="s">
        <v>28</v>
      </c>
      <c r="AX13" s="194">
        <v>1</v>
      </c>
      <c r="AY13" s="194" t="s">
        <v>28</v>
      </c>
      <c r="AZ13" s="194">
        <v>8000</v>
      </c>
      <c r="BA13" s="194">
        <f>AZ13*AX13</f>
        <v>8000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52" t="s">
        <v>584</v>
      </c>
      <c r="B14" s="553"/>
      <c r="C14" s="553">
        <v>8</v>
      </c>
      <c r="D14" s="553" t="s">
        <v>28</v>
      </c>
      <c r="E14" s="553">
        <v>200</v>
      </c>
      <c r="F14" s="553">
        <f>C14*E14</f>
        <v>1600</v>
      </c>
      <c r="G14" s="558"/>
      <c r="H14" s="543"/>
      <c r="I14" s="558"/>
      <c r="J14" s="558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6">M14*U14</f>
        <v>800</v>
      </c>
      <c r="W14" s="241">
        <f>(V14)/$R$68</f>
        <v>0.0039652741119644711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5128.2825</v>
      </c>
      <c r="AX14" s="194"/>
      <c r="AY14" s="194"/>
      <c r="AZ14" s="194"/>
      <c r="BA14" s="194">
        <f>SUBTOTAL(109,Table8091[price])</f>
        <v>93241.5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7">BH14*BP14</f>
        <v>800</v>
      </c>
      <c r="BR14" s="241">
        <f>(BQ14)/$R$68</f>
        <v>0.0039652741119644711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52" t="s">
        <v>581</v>
      </c>
      <c r="B15" s="553"/>
      <c r="C15" s="553">
        <f>B3*2</f>
        <v>64</v>
      </c>
      <c r="D15" s="553" t="s">
        <v>28</v>
      </c>
      <c r="E15" s="553">
        <v>90</v>
      </c>
      <c r="F15" s="553">
        <f>C15*E15</f>
        <v>5760</v>
      </c>
      <c r="G15" s="558"/>
      <c r="H15" s="543"/>
      <c r="I15" s="543"/>
      <c r="J15" s="543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85</v>
      </c>
      <c r="V15" s="240">
        <f t="shared" si="6"/>
        <v>170</v>
      </c>
      <c r="W15" s="241">
        <f>(V15)/$R$68</f>
        <v>0.00084262074879245012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85</v>
      </c>
      <c r="BQ15" s="240">
        <f t="shared" si="7"/>
        <v>170</v>
      </c>
      <c r="BR15" s="241">
        <f>(BQ15)/$R$68</f>
        <v>0.00084262074879245012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52" t="s">
        <v>582</v>
      </c>
      <c r="B16" s="553"/>
      <c r="C16" s="553">
        <f>B3*2</f>
        <v>64</v>
      </c>
      <c r="D16" s="553" t="s">
        <v>28</v>
      </c>
      <c r="E16" s="553">
        <v>90</v>
      </c>
      <c r="F16" s="553">
        <f>C16*E16</f>
        <v>5760</v>
      </c>
      <c r="G16" s="558"/>
      <c r="H16" s="543"/>
      <c r="I16" s="543"/>
      <c r="J16" s="543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75</v>
      </c>
      <c r="V16" s="240">
        <f t="shared" si="6"/>
        <v>75</v>
      </c>
      <c r="W16" s="241">
        <f>(V16)/$R$68</f>
        <v>0.00037174444799666919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75</v>
      </c>
      <c r="BQ16" s="240">
        <f t="shared" si="7"/>
        <v>75</v>
      </c>
      <c r="BR16" s="241">
        <f>(BQ16)/$R$68</f>
        <v>0.00037174444799666919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52" t="s">
        <v>585</v>
      </c>
      <c r="B17" s="553">
        <v>2</v>
      </c>
      <c r="C17" s="553"/>
      <c r="D17" s="553" t="s">
        <v>563</v>
      </c>
      <c r="E17" s="553">
        <v>1000</v>
      </c>
      <c r="F17" s="553">
        <f>B17*E17</f>
        <v>2000</v>
      </c>
      <c r="G17" s="558"/>
      <c r="H17" s="543"/>
      <c r="I17" s="543"/>
      <c r="J17" s="543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0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30</v>
      </c>
      <c r="V17" s="240">
        <f t="shared" si="6"/>
        <v>0</v>
      </c>
      <c r="W17" s="241">
        <f>(V17)/$R$68</f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30</v>
      </c>
      <c r="BQ17" s="240">
        <f t="shared" si="7"/>
        <v>480</v>
      </c>
      <c r="BR17" s="241">
        <f>(BQ17)/$R$68</f>
        <v>0.0023791644671786825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52" t="s">
        <v>586</v>
      </c>
      <c r="B18" s="553"/>
      <c r="C18" s="553">
        <f>ROUNDUP(((C3*B3)/100),0)</f>
        <v>123</v>
      </c>
      <c r="D18" s="553" t="s">
        <v>563</v>
      </c>
      <c r="E18" s="553">
        <v>5</v>
      </c>
      <c r="F18" s="553">
        <f>C18*E18</f>
        <v>615</v>
      </c>
      <c r="G18" s="558"/>
      <c r="H18" s="543"/>
      <c r="I18" s="543"/>
      <c r="J18" s="543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1000</v>
      </c>
      <c r="V18" s="240">
        <f t="shared" si="6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7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552" t="s">
        <v>587</v>
      </c>
      <c r="B19" s="553" t="s">
        <v>588</v>
      </c>
      <c r="C19" s="553">
        <f>ROUNDUP((B3/3),0)</f>
        <v>11</v>
      </c>
      <c r="D19" s="553" t="s">
        <v>28</v>
      </c>
      <c r="E19" s="553">
        <v>175</v>
      </c>
      <c r="F19" s="553">
        <f>C19*E19</f>
        <v>1925</v>
      </c>
      <c r="G19" s="543"/>
      <c r="H19" s="543"/>
      <c r="I19" s="543"/>
      <c r="J19" s="543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1045</v>
      </c>
      <c r="W19" s="244">
        <f>Table156172[[#Totals],[اجمالي]]/$R$68</f>
        <v>0.00517963930875359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1525</v>
      </c>
      <c r="BR19" s="244">
        <f>Table15617282[[#Totals],[اجمالي]]/$R$68</f>
        <v>0.0075588037759322735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52" t="s">
        <v>589</v>
      </c>
      <c r="B20" s="553" t="s">
        <v>590</v>
      </c>
      <c r="C20" s="553">
        <f>C19</f>
        <v>11</v>
      </c>
      <c r="D20" s="553" t="s">
        <v>28</v>
      </c>
      <c r="E20" s="553">
        <v>40</v>
      </c>
      <c r="F20" s="553">
        <f>E20*C20</f>
        <v>440</v>
      </c>
      <c r="G20" s="543"/>
      <c r="H20" s="543"/>
      <c r="I20" s="543"/>
      <c r="J20" s="543"/>
      <c r="L20" s="216"/>
      <c r="M20" s="216"/>
      <c r="N20" s="217"/>
      <c r="O20" s="629" t="s">
        <v>99</v>
      </c>
      <c r="P20" s="629"/>
      <c r="Q20" s="629"/>
      <c r="R20" s="629"/>
      <c r="S20" s="629"/>
      <c r="T20" s="629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29" t="s">
        <v>99</v>
      </c>
      <c r="BK20" s="629"/>
      <c r="BL20" s="629"/>
      <c r="BM20" s="629"/>
      <c r="BN20" s="629"/>
      <c r="BO20" s="629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52" t="s">
        <v>591</v>
      </c>
      <c r="B21" s="553" t="s">
        <v>28</v>
      </c>
      <c r="C21" s="553">
        <v>2</v>
      </c>
      <c r="D21" s="553" t="s">
        <v>28</v>
      </c>
      <c r="E21" s="553">
        <v>300</v>
      </c>
      <c r="F21" s="553">
        <f>E21*C21</f>
        <v>600</v>
      </c>
      <c r="G21" s="543"/>
      <c r="H21" s="543"/>
      <c r="I21" s="543"/>
      <c r="J21" s="543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52" t="s">
        <v>184</v>
      </c>
      <c r="B22" s="553" t="s">
        <v>28</v>
      </c>
      <c r="C22" s="553">
        <v>1</v>
      </c>
      <c r="D22" s="553" t="s">
        <v>28</v>
      </c>
      <c r="E22" s="553">
        <v>5000</v>
      </c>
      <c r="F22" s="553">
        <f>E22*C22</f>
        <v>5000</v>
      </c>
      <c r="G22" s="543"/>
      <c r="H22" s="543"/>
      <c r="I22" s="543"/>
      <c r="J22" s="543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900</v>
      </c>
      <c r="V22" s="240">
        <f>M22*U22</f>
        <v>1800</v>
      </c>
      <c r="W22" s="249">
        <f>(V22)/$R$68</f>
        <v>0.00892186675192006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900</v>
      </c>
      <c r="BQ22" s="240">
        <f>BH22*BP22</f>
        <v>1800</v>
      </c>
      <c r="BR22" s="249">
        <f>(BQ22)/$R$68</f>
        <v>0.00892186675192006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61" t="s">
        <v>58</v>
      </c>
      <c r="B23" s="562">
        <f>(Table80102114[[#Totals],[price]]*1.1)/(F1*D1/10000)</f>
        <v>7595.3900000000012</v>
      </c>
      <c r="C23" s="563"/>
      <c r="D23" s="563"/>
      <c r="E23" s="563"/>
      <c r="F23" s="563">
        <f>SUBTOTAL(109,Table80102114[price])</f>
        <v>138098</v>
      </c>
      <c r="G23" s="543"/>
      <c r="H23" s="543"/>
      <c r="I23" s="543"/>
      <c r="J23" s="543"/>
      <c r="L23" s="211">
        <v>3</v>
      </c>
      <c r="M23" s="219">
        <v>2</v>
      </c>
      <c r="N23" s="220" t="s">
        <v>470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525</v>
      </c>
      <c r="V23" s="240">
        <f>M23*U23</f>
        <v>1050</v>
      </c>
      <c r="W23" s="241">
        <f>(V23)/$R$68</f>
        <v>0.005204422271953368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470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525</v>
      </c>
      <c r="BQ23" s="240">
        <f>BH23*BP23</f>
        <v>1050</v>
      </c>
      <c r="BR23" s="241">
        <f>(BQ23)/$R$68</f>
        <v>0.005204422271953368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200"/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56.25</v>
      </c>
      <c r="V24" s="240">
        <f>M24*U24</f>
        <v>450</v>
      </c>
      <c r="W24" s="251">
        <f>(V24)/$R$68</f>
        <v>0.0022304666879800149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56.25</v>
      </c>
      <c r="BQ24" s="240">
        <f>BH24*BP24</f>
        <v>450</v>
      </c>
      <c r="BR24" s="251">
        <f>(BQ24)/$R$68</f>
        <v>0.0022304666879800149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3300</v>
      </c>
      <c r="W25" s="244">
        <f>Table166273[[#Totals],[اجمالي]]/$R$68</f>
        <v>0.016356755711853445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3300</v>
      </c>
      <c r="BR25" s="244">
        <f>Table16627383[[#Totals],[اجمالي]]/$R$68</f>
        <v>0.016356755711853445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29" t="s">
        <v>102</v>
      </c>
      <c r="P26" s="629"/>
      <c r="Q26" s="629"/>
      <c r="R26" s="629"/>
      <c r="S26" s="629"/>
      <c r="T26" s="629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29" t="s">
        <v>102</v>
      </c>
      <c r="BK26" s="629"/>
      <c r="BL26" s="629"/>
      <c r="BM26" s="629"/>
      <c r="BN26" s="629"/>
      <c r="BO26" s="629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1.5200000000000002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325</v>
      </c>
      <c r="V28" s="240">
        <f ref="V28:V33" t="shared" si="8">M28*U28</f>
        <v>494.00000000000006</v>
      </c>
      <c r="W28" s="241">
        <f ref="W28:W42" t="shared" si="9" ca="1">(V28)/$R$68</f>
        <v>0.0024485567641380612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2.2600000000000002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325</v>
      </c>
      <c r="BQ28" s="240">
        <f ref="BQ28:BQ41" t="shared" si="10">BH28*BP28</f>
        <v>734.50000000000011</v>
      </c>
      <c r="BR28" s="241">
        <f ref="BR28:BR41" t="shared" si="11" ca="1">(BQ28)/$R$68</f>
        <v>0.0036406172940473807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20</v>
      </c>
      <c r="V29" s="240">
        <f t="shared" si="8"/>
        <v>60</v>
      </c>
      <c r="W29" s="241">
        <f t="shared" si="9" ca="1"/>
        <v>0.00029739555839733531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0"/>
        <v>54</v>
      </c>
      <c r="BR29" s="241">
        <f t="shared" si="11" ca="1"/>
        <v>0.00026765600255760182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20</v>
      </c>
      <c r="V30" s="240">
        <f t="shared" si="8"/>
        <v>60</v>
      </c>
      <c r="W30" s="241">
        <f t="shared" si="9" ca="1"/>
        <v>0.00029739555839733531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0"/>
        <v>54</v>
      </c>
      <c r="BR30" s="241">
        <f t="shared" si="11" ca="1"/>
        <v>0.00026765600255760182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8"/>
        <v>40</v>
      </c>
      <c r="W31" s="241">
        <f t="shared" si="9" ca="1"/>
        <v>0.00019826370559822355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0"/>
        <v>25</v>
      </c>
      <c r="BR31" s="241">
        <f t="shared" si="11" ca="1"/>
        <v>0.00012391481599888972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8"/>
        <v>150</v>
      </c>
      <c r="W32" s="241">
        <f t="shared" si="9" ca="1"/>
        <v>0.00074348889599333838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0"/>
        <v>150</v>
      </c>
      <c r="BR32" s="241">
        <f t="shared" si="11" ca="1"/>
        <v>0.00074348889599333838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8"/>
        <v>80</v>
      </c>
      <c r="W33" s="241">
        <f t="shared" si="9" ca="1"/>
        <v>0.0003965274111964471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0"/>
        <v>80</v>
      </c>
      <c r="BR33" s="241">
        <f t="shared" si="11" ca="1"/>
        <v>0.0003965274111964471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8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210</v>
      </c>
      <c r="V34" s="240">
        <f ref="V34:V42" t="shared" si="12">M34*U34</f>
        <v>1680</v>
      </c>
      <c r="W34" s="251">
        <f t="shared" si="9" ca="1"/>
        <v>0.00832707563512539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11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210</v>
      </c>
      <c r="BQ34" s="240">
        <f t="shared" si="10"/>
        <v>2310</v>
      </c>
      <c r="BR34" s="251">
        <f t="shared" si="11" ca="1"/>
        <v>0.011449728998297411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3">ROUNDUP(AM6,0)</f>
        <v>6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90</v>
      </c>
      <c r="V35" s="240">
        <f t="shared" si="12"/>
        <v>540</v>
      </c>
      <c r="W35" s="251">
        <f t="shared" si="9" ca="1"/>
        <v>0.002676560025576018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4">ROUNDUP(CH6,0)</f>
        <v>7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90</v>
      </c>
      <c r="BQ35" s="240">
        <f t="shared" si="10"/>
        <v>630</v>
      </c>
      <c r="BR35" s="251">
        <f t="shared" si="11" ca="1"/>
        <v>0.0031226533631720211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3"/>
        <v>5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410</v>
      </c>
      <c r="V36" s="240">
        <f t="shared" si="12"/>
        <v>2050</v>
      </c>
      <c r="W36" s="251">
        <f t="shared" si="9" ca="1"/>
        <v>0.010161014911908958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4"/>
        <v>7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410</v>
      </c>
      <c r="BQ36" s="240">
        <f t="shared" si="10"/>
        <v>2870</v>
      </c>
      <c r="BR36" s="251">
        <f t="shared" si="11" ca="1"/>
        <v>0.014225420876672541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2"/>
        <v>0</v>
      </c>
      <c r="W37" s="251">
        <f t="shared" si="9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0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20</v>
      </c>
      <c r="BQ37" s="240">
        <f t="shared" si="10"/>
        <v>0</v>
      </c>
      <c r="BR37" s="251">
        <f t="shared" si="11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IF((تسعير!AT5="B"),(Table15880[[#Totals],[الوزن]]+Table166273[[#Totals],[الوزن]]),0)</f>
        <v>134</v>
      </c>
      <c r="N38" s="213" t="s">
        <v>132</v>
      </c>
      <c r="O38" s="214"/>
      <c r="P38" s="214"/>
      <c r="Q38" s="214"/>
      <c r="R38" s="211"/>
      <c r="S38" s="211"/>
      <c r="T38" s="211"/>
      <c r="U38" s="248">
        <v>20</v>
      </c>
      <c r="V38" s="240">
        <f t="shared" si="12"/>
        <v>2680</v>
      </c>
      <c r="W38" s="251">
        <f t="shared" si="9" ca="1"/>
        <v>0.013283668275080979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350</v>
      </c>
      <c r="BQ38" s="240">
        <f t="shared" si="10"/>
        <v>0</v>
      </c>
      <c r="BR38" s="251">
        <f t="shared" si="11" ca="1"/>
        <v>0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350</v>
      </c>
      <c r="V39" s="240">
        <f t="shared" si="12"/>
        <v>0</v>
      </c>
      <c r="W39" s="251">
        <f t="shared" si="9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450</v>
      </c>
      <c r="BQ39" s="240">
        <f t="shared" si="10"/>
        <v>0</v>
      </c>
      <c r="BR39" s="251">
        <f t="shared" si="11" ca="1"/>
        <v>0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450</v>
      </c>
      <c r="V40" s="240">
        <f t="shared" si="12"/>
        <v>0</v>
      </c>
      <c r="W40" s="251">
        <f t="shared" si="9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0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0"/>
        <v>0</v>
      </c>
      <c r="BR40" s="251">
        <f t="shared" si="11" ca="1"/>
        <v>0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2"/>
        <v>0</v>
      </c>
      <c r="W41" s="251">
        <f t="shared" si="9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0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0"/>
        <v>0</v>
      </c>
      <c r="BR41" s="251">
        <f t="shared" si="11" ca="1"/>
        <v>0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2"/>
        <v>0</v>
      </c>
      <c r="W42" s="251">
        <f t="shared" si="9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6907.5</v>
      </c>
      <c r="BR42" s="244">
        <f>Table13597166[[#Totals],[اجمالي]]/$R$68</f>
        <v>0.034237663660493231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7834</v>
      </c>
      <c r="W43" s="244">
        <f>Table135971[[#Totals],[اجمالي]]/$R$68</f>
        <v>0.038829946741412082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29" t="s">
        <v>131</v>
      </c>
      <c r="BK44" s="629"/>
      <c r="BL44" s="629"/>
      <c r="BM44" s="629"/>
      <c r="BN44" s="629"/>
      <c r="BO44" s="629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29" t="s">
        <v>131</v>
      </c>
      <c r="P45" s="629"/>
      <c r="Q45" s="629"/>
      <c r="R45" s="629"/>
      <c r="S45" s="629"/>
      <c r="T45" s="629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555</v>
      </c>
      <c r="BJ46" s="214"/>
      <c r="BK46" s="211"/>
      <c r="BL46" s="216"/>
      <c r="BM46" s="214"/>
      <c r="BN46" s="211"/>
      <c r="BO46" s="247"/>
      <c r="BP46" s="248">
        <f>Table8091[[#Totals],[price]]</f>
        <v>93241.5</v>
      </c>
      <c r="BQ46" s="252">
        <f>BH46*Table1613687787[[#This Row],[سعر الشبك ]]</f>
        <v>93241.5</v>
      </c>
      <c r="BR46" s="241">
        <f>(BQ46)/$R$68</f>
        <v>0.46216013263841904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555</v>
      </c>
      <c r="O47" s="214"/>
      <c r="P47" s="211"/>
      <c r="Q47" s="216"/>
      <c r="R47" s="214"/>
      <c r="S47" s="211"/>
      <c r="T47" s="247"/>
      <c r="U47" s="248">
        <f>Table80102114[[#Totals],[price]]</f>
        <v>138098</v>
      </c>
      <c r="V47" s="252">
        <f>M47*Table16136877[[#This Row],[سعر الشبك ]]</f>
        <v>138098</v>
      </c>
      <c r="W47" s="241">
        <f>(V47)/$R$68</f>
        <v>0.68449553039258693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93241.5</v>
      </c>
      <c r="BQ47" s="240">
        <f>BH47*Table1613687787[[#This Row],[سعر الشبك ]]</f>
        <v>9324.15</v>
      </c>
      <c r="BR47" s="241">
        <f>(BQ47)/$R$68</f>
        <v>0.0462160132638419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138098</v>
      </c>
      <c r="V48" s="240">
        <f>M48*Table16136877[[#This Row],[سعر الشبك ]]</f>
        <v>34524.5</v>
      </c>
      <c r="W48" s="241">
        <f>(V48)/$R$68</f>
        <v>0.17112388259814673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102565.65</v>
      </c>
      <c r="BR48" s="244">
        <f>Table1613687787[[#Totals],[اجمالي]]/$R$68</f>
        <v>0.50837614590226088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172622.5</v>
      </c>
      <c r="W49" s="244">
        <f>Table16136877[[#Totals],[اجمالي]]/$R$68</f>
        <v>0.85561941299073363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29" t="s">
        <v>133</v>
      </c>
      <c r="BK49" s="629"/>
      <c r="BL49" s="629"/>
      <c r="BM49" s="629"/>
      <c r="BN49" s="629"/>
      <c r="BO49" s="629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29" t="s">
        <v>133</v>
      </c>
      <c r="P50" s="629"/>
      <c r="Q50" s="629"/>
      <c r="R50" s="629"/>
      <c r="S50" s="629"/>
      <c r="T50" s="629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5" ca="1">BH51*BP51</f>
        <v>370</v>
      </c>
      <c r="BR51" s="267">
        <f ref="BR51:BR63" t="shared" si="16" ca="1">(BQ51)/$R$68</f>
        <v>0.001833939276783568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7" ca="1">M52*U52</f>
        <v>400</v>
      </c>
      <c r="W52" s="241">
        <f ref="W52:W64" t="shared" si="18" ca="1">(V52)/$R$68</f>
        <v>0.0019826370559822355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5" ca="1"/>
        <v>370</v>
      </c>
      <c r="BR52" s="267">
        <f t="shared" si="16" ca="1"/>
        <v>0.001833939276783568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7" ca="1"/>
        <v>400</v>
      </c>
      <c r="W53" s="241">
        <f t="shared" si="18" ca="1"/>
        <v>0.0019826370559822355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5"/>
        <v>0</v>
      </c>
      <c r="BR53" s="267">
        <f t="shared" si="16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7"/>
        <v>0</v>
      </c>
      <c r="W54" s="241">
        <f t="shared" si="18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5" ca="1"/>
        <v>1110</v>
      </c>
      <c r="BR54" s="267">
        <f t="shared" si="16" ca="1"/>
        <v>0.005501817830350704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7" ca="1"/>
        <v>1200</v>
      </c>
      <c r="W55" s="241">
        <f t="shared" si="18" ca="1"/>
        <v>0.0059479111679467071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5" ca="1"/>
        <v>2480</v>
      </c>
      <c r="BR55" s="267">
        <f t="shared" si="16" ca="1"/>
        <v>0.01229234974708986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7" ca="1"/>
        <v>1600</v>
      </c>
      <c r="W56" s="241">
        <f t="shared" si="18" ca="1"/>
        <v>0.0079305482239289422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5" ca="1"/>
        <v>1860</v>
      </c>
      <c r="BR56" s="267">
        <f t="shared" si="16" ca="1"/>
        <v>0.0092192623103173957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7" ca="1"/>
        <v>1200</v>
      </c>
      <c r="W57" s="241">
        <f t="shared" si="18" ca="1"/>
        <v>0.0059479111679467071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5"/>
        <v>0</v>
      </c>
      <c r="BR57" s="267">
        <f t="shared" si="16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7"/>
        <v>0</v>
      </c>
      <c r="W58" s="241">
        <f t="shared" si="18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5" ca="1"/>
        <v>2480</v>
      </c>
      <c r="BR58" s="267">
        <f t="shared" si="16" ca="1"/>
        <v>0.01229234974708986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7" ca="1"/>
        <v>1600</v>
      </c>
      <c r="W59" s="241">
        <f t="shared" si="18" ca="1"/>
        <v>0.0079305482239289422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5" ca="1"/>
        <v>2640</v>
      </c>
      <c r="BR59" s="267">
        <f t="shared" si="16" ca="1"/>
        <v>0.013085404569482755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7" ca="1"/>
        <v>0</v>
      </c>
      <c r="W60" s="241">
        <f t="shared" si="18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5" ca="1"/>
        <v>2250</v>
      </c>
      <c r="BR60" s="267">
        <f t="shared" si="16" ca="1"/>
        <v>0.011152333439900075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7" ca="1"/>
        <v>0</v>
      </c>
      <c r="W61" s="241">
        <f t="shared" si="1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5" ca="1"/>
        <v>0</v>
      </c>
      <c r="BR61" s="267">
        <f t="shared" si="16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7" ca="1"/>
        <v>0</v>
      </c>
      <c r="W62" s="241">
        <f t="shared" si="18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5" ca="1"/>
        <v>4600</v>
      </c>
      <c r="BR62" s="267">
        <f t="shared" si="16" ca="1"/>
        <v>0.022800326143795711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7" ca="1"/>
        <v>2000</v>
      </c>
      <c r="W63" s="241">
        <f t="shared" si="18" ca="1"/>
        <v>0.0099131852799111773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5" ca="1"/>
        <v>840</v>
      </c>
      <c r="BR63" s="267">
        <f t="shared" si="16" ca="1"/>
        <v>0.0041635378175626948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7" ca="1"/>
        <v>0</v>
      </c>
      <c r="W64" s="241">
        <f t="shared" si="18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58</v>
      </c>
      <c r="BH64" s="275"/>
      <c r="BI64" s="276" t="s">
        <v>58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0.094175260159156185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21" t="s">
        <v>58</v>
      </c>
      <c r="M65" s="522"/>
      <c r="N65" s="523" t="s">
        <v>58</v>
      </c>
      <c r="O65" s="521"/>
      <c r="P65" s="521"/>
      <c r="Q65" s="524"/>
      <c r="R65" s="524"/>
      <c r="S65" s="525">
        <f>SUBTOTAL(109,Table16126776[Column12])</f>
        <v>1500</v>
      </c>
      <c r="T65" s="521"/>
      <c r="U65" s="526"/>
      <c r="V65" s="527">
        <f>SUBTOTAL(109,Table16126776[اجمالي])</f>
        <v>8400</v>
      </c>
      <c r="W65" s="528">
        <f>Table16126776[[#Totals],[اجمالي]]/$R$68</f>
        <v>0.041635378175626944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22"/>
      <c r="BK65" s="622"/>
      <c r="BL65" s="622"/>
      <c r="BM65" s="622"/>
      <c r="BN65" s="622"/>
      <c r="BO65" s="622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22"/>
      <c r="P66" s="622"/>
      <c r="Q66" s="622"/>
      <c r="R66" s="622"/>
      <c r="S66" s="622"/>
      <c r="T66" s="622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150173.15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201751.5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156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195225.095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156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302627.25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24" t="s">
        <v>0</v>
      </c>
      <c r="BH71" s="624"/>
      <c r="BI71" s="624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24" t="s">
        <v>0</v>
      </c>
      <c r="M72" s="624"/>
      <c r="N72" s="624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592</v>
      </c>
      <c r="AW72" s="271">
        <f>(BA72*AY72)/10000</f>
        <v>20</v>
      </c>
      <c r="AX72" s="272" t="s">
        <v>424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34"/>
      <c r="BH72" s="634"/>
      <c r="BI72" s="634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34"/>
      <c r="M73" s="634"/>
      <c r="N73" s="634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75000</v>
      </c>
      <c r="T73" s="303">
        <f>Sheet2!B13</f>
        <v>75000</v>
      </c>
      <c r="U73" s="303">
        <f>Sheet2!B14</f>
        <v>230000</v>
      </c>
      <c r="V73" s="303">
        <f>Sheet2!B15</f>
        <v>50000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557</v>
      </c>
      <c r="AY73" s="194" t="s">
        <v>30</v>
      </c>
      <c r="AZ73" s="194" t="s">
        <v>558</v>
      </c>
      <c r="BA73" s="194" t="s">
        <v>559</v>
      </c>
      <c r="BB73" s="167"/>
      <c r="BC73" s="198" t="s">
        <v>560</v>
      </c>
      <c r="BD73" s="198"/>
      <c r="BE73" s="198" t="s">
        <v>561</v>
      </c>
      <c r="BF73" s="167"/>
      <c r="BG73" s="636" t="s">
        <v>17</v>
      </c>
      <c r="BH73" s="636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33">
        <f>NOW()</f>
        <v>45327.437373472225</v>
      </c>
      <c r="BN73" s="633"/>
      <c r="BO73" s="633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7" t="s">
        <v>555</v>
      </c>
      <c r="B74" s="548">
        <f>(F74*D74)/10000</f>
        <v>20</v>
      </c>
      <c r="C74" s="549" t="s">
        <v>424</v>
      </c>
      <c r="D74" s="550">
        <f>تسعير!BE34</f>
        <v>500</v>
      </c>
      <c r="E74" s="549" t="s">
        <v>125</v>
      </c>
      <c r="F74" s="550">
        <f>تسعير!BE33</f>
        <v>400</v>
      </c>
      <c r="G74" s="549" t="s">
        <v>173</v>
      </c>
      <c r="H74" s="550" t="str">
        <f>تسعير!BE26</f>
        <v>خشبي</v>
      </c>
      <c r="I74" s="551">
        <v>125000</v>
      </c>
      <c r="J74" s="551"/>
      <c r="K74" s="167"/>
      <c r="L74" s="635" t="s">
        <v>17</v>
      </c>
      <c r="M74" s="635"/>
      <c r="N74" s="283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0</v>
      </c>
      <c r="O74" s="207"/>
      <c r="P74" s="207"/>
      <c r="Q74" s="304" t="s">
        <v>18</v>
      </c>
      <c r="R74" s="633">
        <f>NOW()</f>
        <v>45327.437373472225</v>
      </c>
      <c r="S74" s="633"/>
      <c r="T74" s="633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562</v>
      </c>
      <c r="AW74" s="196">
        <f>ROUNDUP((12+((ROUNDUP((AY72-210),18))/18)),0)</f>
        <v>23</v>
      </c>
      <c r="AX74" s="197">
        <f>BA72-16.5</f>
        <v>483.5</v>
      </c>
      <c r="AY74" s="194" t="s">
        <v>563</v>
      </c>
      <c r="AZ74" s="194">
        <v>2</v>
      </c>
      <c r="BA74" s="194">
        <f>IF((تسعير!$BE$46="سادة"),(BE74*BC74*AZ74*(Sheet2!$B$14+12000)/1000),(BE74*BC74*AZ74*(Sheet2!$B$14+Sheet2!$B$15)/1000))</f>
        <v>64400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29" t="s">
        <v>20</v>
      </c>
      <c r="BK74" s="629"/>
      <c r="BL74" s="629"/>
      <c r="BM74" s="629"/>
      <c r="BN74" s="629"/>
      <c r="BO74" s="629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52" t="s">
        <v>9</v>
      </c>
      <c r="B75" s="553" t="s">
        <v>28</v>
      </c>
      <c r="C75" s="553" t="s">
        <v>557</v>
      </c>
      <c r="D75" s="553" t="s">
        <v>30</v>
      </c>
      <c r="E75" s="553" t="s">
        <v>558</v>
      </c>
      <c r="F75" s="553" t="s">
        <v>559</v>
      </c>
      <c r="G75" s="543"/>
      <c r="H75" s="554" t="s">
        <v>560</v>
      </c>
      <c r="I75" s="554"/>
      <c r="J75" s="554" t="s">
        <v>561</v>
      </c>
      <c r="L75" s="208"/>
      <c r="M75" s="208"/>
      <c r="N75" s="209"/>
      <c r="O75" s="629" t="s">
        <v>20</v>
      </c>
      <c r="P75" s="629"/>
      <c r="Q75" s="629"/>
      <c r="R75" s="629"/>
      <c r="S75" s="629"/>
      <c r="T75" s="629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564</v>
      </c>
      <c r="AW75" s="194">
        <v>2</v>
      </c>
      <c r="AX75" s="196">
        <f>BA72</f>
        <v>500</v>
      </c>
      <c r="AY75" s="194" t="s">
        <v>563</v>
      </c>
      <c r="AZ75" s="194">
        <v>1.7</v>
      </c>
      <c r="BA75" s="194">
        <f>IF((تسعير!$BE$46="سادة"),(BE75*BC75*AZ75*(Sheet2!$B$14+12000)/1000),(BE75*BC75*AZ75*(Sheet2!$B$14+Sheet2!$B$15)/1000))</f>
        <v>4760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567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52" t="s">
        <v>562</v>
      </c>
      <c r="B76" s="555">
        <f>ROUNDUP((12+((ROUNDUP((D74-210),15))/15)),0)</f>
        <v>32</v>
      </c>
      <c r="C76" s="556">
        <f>F74-16.5</f>
        <v>383.5</v>
      </c>
      <c r="D76" s="553" t="s">
        <v>563</v>
      </c>
      <c r="E76" s="553">
        <v>2.3</v>
      </c>
      <c r="F76" s="553">
        <f ref="F76:F81" t="shared" si="21">IF(($H$74="سادة"),(J76*H76*E76*($U$73+12000)/1000),(J76*H76*E76*($U$73+40000)/1000))</f>
        <v>79488</v>
      </c>
      <c r="G76" s="543"/>
      <c r="H76" s="554">
        <f>IF(AND((C76&gt;=150),(C76&lt;201)),4,IF(AND((C76&gt;=201),(C76&lt;251)),5,IF(AND((C76&gt;=251),(C76&lt;401)),4,IF(AND((C76&gt;=401),(C76&lt;501)),5,0))))</f>
        <v>4</v>
      </c>
      <c r="I76" s="284">
        <f ref="I76:I81" t="shared" si="22">(H76*100)/C76</f>
        <v>1.0430247718383312</v>
      </c>
      <c r="J76" s="557">
        <f ref="J76:J81" t="shared" si="23">B76/(ROUNDDOWN(I76,0))</f>
        <v>32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567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447</v>
      </c>
      <c r="AT76" s="255"/>
      <c r="AU76" s="216"/>
      <c r="AV76" s="193" t="s">
        <v>566</v>
      </c>
      <c r="AW76" s="194">
        <v>2</v>
      </c>
      <c r="AX76" s="196">
        <f>AY72</f>
        <v>400</v>
      </c>
      <c r="AY76" s="194" t="s">
        <v>563</v>
      </c>
      <c r="AZ76" s="194">
        <v>1.7</v>
      </c>
      <c r="BA76" s="194">
        <f>IF((تسعير!$BE$46="سادة"),(BE76*BC76*AZ76*(Sheet2!$B$14+12000)/1000),(BE76*BC76*AZ76*(Sheet2!$B$14+Sheet2!$B$15)/1000))</f>
        <v>4760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571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6300</v>
      </c>
      <c r="BQ76" s="240">
        <f>BH76*BP76</f>
        <v>12600</v>
      </c>
      <c r="BR76" s="241">
        <f>(BQ76)/$R$68</f>
        <v>0.062453067263440423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52" t="s">
        <v>564</v>
      </c>
      <c r="B77" s="553">
        <v>2</v>
      </c>
      <c r="C77" s="555">
        <f>F74</f>
        <v>400</v>
      </c>
      <c r="D77" s="553" t="s">
        <v>563</v>
      </c>
      <c r="E77" s="553">
        <v>3.8</v>
      </c>
      <c r="F77" s="553">
        <f t="shared" si="21"/>
        <v>10260</v>
      </c>
      <c r="G77" s="558"/>
      <c r="H77" s="554">
        <f>IF(AND((C77&gt;=200),(C77&lt;250)),5,IF(AND((C77&gt;=250),(C77&lt;=350)),7,IF(AND((C77&gt;350),(C77&lt;501)),5,IF(AND((C77&gt;=501),(C77&lt;701)),7,0))))</f>
        <v>5</v>
      </c>
      <c r="I77" s="284">
        <f t="shared" si="22"/>
        <v>1.25</v>
      </c>
      <c r="J77" s="557">
        <f t="shared" si="23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571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6300</v>
      </c>
      <c r="V77" s="240">
        <f>M77*U77</f>
        <v>25200</v>
      </c>
      <c r="W77" s="241">
        <f>(V77)/$R$68</f>
        <v>0.12490613452688085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449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570</v>
      </c>
      <c r="AW77" s="194">
        <v>1</v>
      </c>
      <c r="AX77" s="194">
        <f>(15.6*(AW74-1)+4)</f>
        <v>347.2</v>
      </c>
      <c r="AY77" s="194" t="s">
        <v>563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573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2775</v>
      </c>
      <c r="BQ77" s="240">
        <f>BH77*BP77</f>
        <v>11100</v>
      </c>
      <c r="BR77" s="241">
        <f>(BQ77)/$R$68</f>
        <v>0.05501817830350704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52" t="s">
        <v>566</v>
      </c>
      <c r="B78" s="553">
        <v>2</v>
      </c>
      <c r="C78" s="555">
        <f>D74</f>
        <v>500</v>
      </c>
      <c r="D78" s="553" t="s">
        <v>563</v>
      </c>
      <c r="E78" s="553">
        <v>3.8</v>
      </c>
      <c r="F78" s="553">
        <f t="shared" si="21"/>
        <v>10260</v>
      </c>
      <c r="G78" s="558"/>
      <c r="H78" s="554">
        <f>IF(AND((C78&gt;=200),(C78&lt;=250)),5,IF(AND((C78&gt;250),(C78&lt;=350)),7,IF(AND((C78&gt;350),(C78&lt;501)),5,IF(AND((C78&gt;=501),(C78&lt;701)),7,0))))</f>
        <v>5</v>
      </c>
      <c r="I78" s="284">
        <f t="shared" si="22"/>
        <v>1</v>
      </c>
      <c r="J78" s="557">
        <f t="shared" si="23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0</v>
      </c>
      <c r="N78" s="213" t="s">
        <v>573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0</v>
      </c>
      <c r="R78" s="211"/>
      <c r="S78" s="211">
        <v>37</v>
      </c>
      <c r="T78" s="211">
        <f>Table15880101[[#This Row],[المسطح]]*Table15880101[[#This Row],[عدد]]</f>
        <v>0</v>
      </c>
      <c r="U78" s="239">
        <f>S78*$S$2/1000</f>
        <v>2775</v>
      </c>
      <c r="V78" s="240">
        <f>M78*U78</f>
        <v>0</v>
      </c>
      <c r="W78" s="241">
        <f>(V78)/$R$68</f>
        <v>0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451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574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576</v>
      </c>
      <c r="BJ78" s="214">
        <v>0.03</v>
      </c>
      <c r="BK78" s="214">
        <v>0.03</v>
      </c>
      <c r="BL78" s="211">
        <f>(Table15880101112[[#This Row],[Column1]]+Table15880101112[[#This Row],[Column2]])*12*Table15880101112[[#This Row],[عدد]]</f>
        <v>2.88</v>
      </c>
      <c r="BM78" s="211"/>
      <c r="BN78" s="211">
        <v>5</v>
      </c>
      <c r="BO78" s="211">
        <f>Table15880101112[[#This Row],[المسطح]]*Table15880101112[[#This Row],[عدد]]</f>
        <v>11.52</v>
      </c>
      <c r="BP78" s="239">
        <f>BN78*$S$2/1000</f>
        <v>375</v>
      </c>
      <c r="BQ78" s="240">
        <f>BH78*BP78</f>
        <v>1500</v>
      </c>
      <c r="BR78" s="241">
        <f>(BQ78)/$R$68</f>
        <v>0.0074348889599333834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447</v>
      </c>
      <c r="CO78" s="255"/>
    </row>
    <row r="79" ht="18.75">
      <c r="A79" s="552" t="s">
        <v>568</v>
      </c>
      <c r="B79" s="553">
        <v>2</v>
      </c>
      <c r="C79" s="555">
        <f>F74</f>
        <v>400</v>
      </c>
      <c r="D79" s="553" t="s">
        <v>563</v>
      </c>
      <c r="E79" s="553">
        <v>1.7</v>
      </c>
      <c r="F79" s="553">
        <f t="shared" si="21"/>
        <v>4590</v>
      </c>
      <c r="G79" s="558"/>
      <c r="H79" s="554">
        <f>IF(AND((C79&gt;=200),(C79&lt;=250)),5,IF(AND((C79&gt;250),(C79&lt;=350)),7,IF(AND((C79&gt;350),(C79&lt;501)),5,IF(AND((C79&gt;=501),(C79&lt;701)),7,0))))</f>
        <v>5</v>
      </c>
      <c r="I79" s="284">
        <f t="shared" si="22"/>
        <v>1.25</v>
      </c>
      <c r="J79" s="557">
        <f t="shared" si="23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0</v>
      </c>
      <c r="N79" s="213" t="s">
        <v>576</v>
      </c>
      <c r="O79" s="214">
        <v>0.03</v>
      </c>
      <c r="P79" s="214">
        <v>0.03</v>
      </c>
      <c r="Q79" s="211">
        <f>(Table15880101[[#This Row],[Column1]]+Table15880101[[#This Row],[Column2]])*12*Table15880101[[#This Row],[عدد]]</f>
        <v>0</v>
      </c>
      <c r="R79" s="211"/>
      <c r="S79" s="211">
        <v>5</v>
      </c>
      <c r="T79" s="211">
        <f>Table15880101[[#This Row],[المسطح]]*Table15880101[[#This Row],[عدد]]</f>
        <v>0</v>
      </c>
      <c r="U79" s="239">
        <f>S79*$S$2/1000</f>
        <v>375</v>
      </c>
      <c r="V79" s="240">
        <f>M79*U79</f>
        <v>0</v>
      </c>
      <c r="W79" s="241">
        <f>(V79)/$R$68</f>
        <v>0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453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577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571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6300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79" s="207"/>
      <c r="CJ79" s="207" t="s">
        <v>449</v>
      </c>
      <c r="CK79" s="207">
        <v>0.03</v>
      </c>
      <c r="CL79" s="207">
        <v>0.03</v>
      </c>
      <c r="CM79" s="207"/>
      <c r="CN79" s="207"/>
      <c r="CO79" s="255"/>
    </row>
    <row r="80" ht="18.75">
      <c r="A80" s="552" t="s">
        <v>572</v>
      </c>
      <c r="B80" s="553">
        <v>2</v>
      </c>
      <c r="C80" s="555">
        <f>D74</f>
        <v>500</v>
      </c>
      <c r="D80" s="553" t="s">
        <v>563</v>
      </c>
      <c r="E80" s="553">
        <v>1.7</v>
      </c>
      <c r="F80" s="553">
        <f t="shared" si="21"/>
        <v>4590</v>
      </c>
      <c r="G80" s="558"/>
      <c r="H80" s="554">
        <f>IF(AND((C80&gt;=200),(C80&lt;=250)),5,IF(AND((C80&gt;250),(C80&lt;=350)),7,IF(AND((C80&gt;350),(C80&lt;501)),5,IF(AND((C80&gt;=501),(C80&lt;701)),7,0))))</f>
        <v>5</v>
      </c>
      <c r="I80" s="284">
        <f t="shared" si="22"/>
        <v>1</v>
      </c>
      <c r="J80" s="557">
        <f t="shared" si="23"/>
        <v>2</v>
      </c>
      <c r="K80" s="187"/>
      <c r="L80" s="211">
        <v>4</v>
      </c>
      <c r="M80" s="212">
        <v>0</v>
      </c>
      <c r="N80" s="213" t="s">
        <v>571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6300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455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578</v>
      </c>
      <c r="AW80" s="194">
        <v>1</v>
      </c>
      <c r="AX80" s="196">
        <v>100</v>
      </c>
      <c r="AY80" s="194" t="s">
        <v>563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579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5.0760000000000005</v>
      </c>
      <c r="CI80" s="216"/>
      <c r="CJ80" s="216" t="s">
        <v>451</v>
      </c>
      <c r="CK80" s="216">
        <v>0.05</v>
      </c>
      <c r="CL80" s="216">
        <v>0.05</v>
      </c>
      <c r="CM80" s="216"/>
      <c r="CN80" s="216"/>
      <c r="CO80" s="256"/>
    </row>
    <row r="81" ht="18.75">
      <c r="A81" s="552" t="s">
        <v>575</v>
      </c>
      <c r="B81" s="553">
        <v>2</v>
      </c>
      <c r="C81" s="553">
        <f>C76</f>
        <v>383.5</v>
      </c>
      <c r="D81" s="553" t="s">
        <v>563</v>
      </c>
      <c r="E81" s="553">
        <v>0.65</v>
      </c>
      <c r="F81" s="553">
        <f t="shared" si="21"/>
        <v>1404</v>
      </c>
      <c r="G81" s="558"/>
      <c r="H81" s="554">
        <f>IF(AND((C81&gt;=150),(C81&lt;201)),4,IF(AND((C81&gt;=201),(C81&lt;251)),5,IF(AND((C81&gt;=251),(C81&lt;401)),4,IF(AND((C81&gt;=401),(C81&lt;501)),5,0))))</f>
        <v>4</v>
      </c>
      <c r="I81" s="284">
        <f t="shared" si="22"/>
        <v>1.0430247718383312</v>
      </c>
      <c r="J81" s="557">
        <f t="shared" si="23"/>
        <v>2</v>
      </c>
      <c r="K81" s="187"/>
      <c r="L81" s="211">
        <v>5</v>
      </c>
      <c r="M81" s="212">
        <f>IF(OR((N74="B11"),(N74="B12"),(N74="B21"),(N74="B22"),(N74="B31"),(N74="B32")),3,0)</f>
        <v>0</v>
      </c>
      <c r="N81" s="215" t="s">
        <v>579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0</v>
      </c>
      <c r="R81" s="242" t="s">
        <v>43</v>
      </c>
      <c r="S81" s="211"/>
      <c r="T81" s="211">
        <f>Table15880101[[#This Row],[المسطح]]*Table15880101[[#This Row],[عدد]]</f>
        <v>0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457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583</v>
      </c>
      <c r="AW81" s="194"/>
      <c r="AX81" s="194">
        <v>100</v>
      </c>
      <c r="AY81" s="194" t="s">
        <v>369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19.68</v>
      </c>
      <c r="BM81" s="211"/>
      <c r="BN81" s="211">
        <f>(BN76*BH76)+(BN77*BH77)+(BN78*BH78)+(BN79*BH79)</f>
        <v>336</v>
      </c>
      <c r="BO81" s="211">
        <f>SUBTOTAL(109,Table15880101112[اجمالي المسطح])</f>
        <v>64.320000000000007</v>
      </c>
      <c r="BP81" s="242"/>
      <c r="BQ81" s="240">
        <f>SUBTOTAL(109,Table15880101112[اجمالي])</f>
        <v>25200</v>
      </c>
      <c r="BR81" s="244">
        <f>Table15880101112[[#Totals],[اجمالي]]/$R$68</f>
        <v>0.12490613452688085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7.61</v>
      </c>
      <c r="CI81" s="216"/>
      <c r="CJ81" s="216" t="s">
        <v>453</v>
      </c>
      <c r="CK81" s="216">
        <v>0.07</v>
      </c>
      <c r="CL81" s="216">
        <v>0.07</v>
      </c>
      <c r="CM81" s="216"/>
      <c r="CN81" s="216"/>
      <c r="CO81" s="256"/>
    </row>
    <row r="82" ht="18.75">
      <c r="A82" s="552" t="s">
        <v>570</v>
      </c>
      <c r="B82" s="553">
        <v>2</v>
      </c>
      <c r="C82" s="553">
        <f>(15.6*(B76-1)+4)</f>
        <v>487.59999999999997</v>
      </c>
      <c r="D82" s="553" t="s">
        <v>563</v>
      </c>
      <c r="E82" s="553">
        <v>600</v>
      </c>
      <c r="F82" s="553">
        <f>E82*B82</f>
        <v>1200</v>
      </c>
      <c r="G82" s="558"/>
      <c r="H82" s="559"/>
      <c r="I82" s="543"/>
      <c r="J82" s="543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14.399999999999999</v>
      </c>
      <c r="R82" s="211"/>
      <c r="S82" s="211">
        <f>(S77*M77)+(S78*M78)+(M79*S79)+(S80*M80)</f>
        <v>336</v>
      </c>
      <c r="T82" s="211">
        <f>SUBTOTAL(109,Table15880101[اجمالي المسطح])</f>
        <v>57.599999999999994</v>
      </c>
      <c r="U82" s="242"/>
      <c r="V82" s="240">
        <f>SUBTOTAL(109,Table15880101[اجمالي])</f>
        <v>25200</v>
      </c>
      <c r="W82" s="244">
        <f>Table15880101[[#Totals],[اجمالي]]/$R$68</f>
        <v>0.12490613452688085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459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581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29" t="s">
        <v>76</v>
      </c>
      <c r="BK82" s="629"/>
      <c r="BL82" s="629"/>
      <c r="BM82" s="629"/>
      <c r="BN82" s="629"/>
      <c r="BO82" s="629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82" s="216"/>
      <c r="CJ82" s="216" t="s">
        <v>455</v>
      </c>
      <c r="CK82" s="216">
        <v>0.1</v>
      </c>
      <c r="CL82" s="216">
        <v>0.1</v>
      </c>
      <c r="CM82" s="216"/>
      <c r="CN82" s="216"/>
      <c r="CO82" s="256"/>
    </row>
    <row r="83" ht="18.75">
      <c r="A83" s="552" t="s">
        <v>574</v>
      </c>
      <c r="B83" s="553"/>
      <c r="C83" s="553">
        <f>B76*2</f>
        <v>64</v>
      </c>
      <c r="D83" s="553" t="s">
        <v>28</v>
      </c>
      <c r="E83" s="553">
        <v>17</v>
      </c>
      <c r="F83" s="553">
        <f>E83*C83</f>
        <v>1088</v>
      </c>
      <c r="G83" s="558"/>
      <c r="H83" s="559"/>
      <c r="I83" s="543"/>
      <c r="J83" s="543"/>
      <c r="K83" s="187"/>
      <c r="L83" s="216"/>
      <c r="M83" s="216"/>
      <c r="N83" s="217"/>
      <c r="O83" s="629" t="s">
        <v>76</v>
      </c>
      <c r="P83" s="629"/>
      <c r="Q83" s="629"/>
      <c r="R83" s="629"/>
      <c r="S83" s="629"/>
      <c r="T83" s="629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15</v>
      </c>
      <c r="AN83" s="216"/>
      <c r="AO83" s="216" t="s">
        <v>461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582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457</v>
      </c>
      <c r="CK83" s="216">
        <v>0.15</v>
      </c>
      <c r="CL83" s="216">
        <v>0.15</v>
      </c>
      <c r="CM83" s="216"/>
      <c r="CN83" s="216"/>
      <c r="CO83" s="256"/>
    </row>
    <row r="84" ht="18.75">
      <c r="A84" s="552" t="s">
        <v>577</v>
      </c>
      <c r="B84" s="553"/>
      <c r="C84" s="553">
        <f>B76*2</f>
        <v>64</v>
      </c>
      <c r="D84" s="553" t="s">
        <v>28</v>
      </c>
      <c r="E84" s="553">
        <v>12</v>
      </c>
      <c r="F84" s="553">
        <f>E84*C84</f>
        <v>768</v>
      </c>
      <c r="G84" s="558"/>
      <c r="H84" s="559"/>
      <c r="I84" s="543"/>
      <c r="J84" s="543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15</v>
      </c>
      <c r="AN84" s="216"/>
      <c r="AO84" s="216" t="s">
        <v>463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184</v>
      </c>
      <c r="AW84" s="194" t="s">
        <v>28</v>
      </c>
      <c r="AX84" s="194">
        <v>1</v>
      </c>
      <c r="AY84" s="194" t="s">
        <v>28</v>
      </c>
      <c r="AZ84" s="194">
        <v>8000</v>
      </c>
      <c r="BA84" s="194">
        <f>AZ84*AX84</f>
        <v>8000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4">BH84*BP84</f>
        <v>1200</v>
      </c>
      <c r="BR84" s="241">
        <f>(BQ84)/$R$68</f>
        <v>0.0059479111679467071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459</v>
      </c>
      <c r="CK84" s="216">
        <v>0.05</v>
      </c>
      <c r="CL84" s="216">
        <v>0.1</v>
      </c>
      <c r="CM84" s="216"/>
      <c r="CN84" s="216"/>
      <c r="CO84" s="256"/>
    </row>
    <row r="85" ht="18.75">
      <c r="A85" s="552" t="s">
        <v>578</v>
      </c>
      <c r="B85" s="553">
        <v>1</v>
      </c>
      <c r="C85" s="555">
        <v>100</v>
      </c>
      <c r="D85" s="553" t="s">
        <v>563</v>
      </c>
      <c r="E85" s="553">
        <v>150</v>
      </c>
      <c r="F85" s="553">
        <f>Table80102114115[[#This Row],[wt/m]]*Table80102114115[[#This Row],[عدد]]</f>
        <v>150</v>
      </c>
      <c r="G85" s="558"/>
      <c r="H85" s="559"/>
      <c r="I85" s="543"/>
      <c r="J85" s="560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5">M85*U85</f>
        <v>800</v>
      </c>
      <c r="W85" s="241">
        <f>(V85)/$R$68</f>
        <v>0.0039652741119644711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2.5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58</v>
      </c>
      <c r="AW85" s="309">
        <f>(Table80102113[[#Totals],[price]]*1.1)/(BA72*AY72/10000)</f>
        <v>5128.2825</v>
      </c>
      <c r="AX85" s="310"/>
      <c r="AY85" s="310"/>
      <c r="AZ85" s="310"/>
      <c r="BA85" s="310">
        <f>SUBTOTAL(109,Table80102113[price])</f>
        <v>93241.5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85</v>
      </c>
      <c r="BQ85" s="240">
        <f t="shared" si="24"/>
        <v>170</v>
      </c>
      <c r="BR85" s="241">
        <f>(BQ85)/$R$68</f>
        <v>0.00084262074879245012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461</v>
      </c>
      <c r="CK85" s="216">
        <v>0.05</v>
      </c>
      <c r="CL85" s="216">
        <v>0.15</v>
      </c>
      <c r="CM85" s="216"/>
      <c r="CN85" s="216"/>
      <c r="CO85" s="256"/>
    </row>
    <row r="86" ht="18.75">
      <c r="A86" s="552" t="s">
        <v>583</v>
      </c>
      <c r="B86" s="553"/>
      <c r="C86" s="553">
        <v>4</v>
      </c>
      <c r="D86" s="553" t="s">
        <v>369</v>
      </c>
      <c r="E86" s="553">
        <v>150</v>
      </c>
      <c r="F86" s="553">
        <f>C86*E86</f>
        <v>600</v>
      </c>
      <c r="G86" s="558"/>
      <c r="H86" s="543"/>
      <c r="I86" s="558"/>
      <c r="J86" s="558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85</v>
      </c>
      <c r="V86" s="240">
        <f t="shared" si="25"/>
        <v>170</v>
      </c>
      <c r="W86" s="241">
        <f>(V86)/$R$68</f>
        <v>0.00084262074879245012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2.5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75</v>
      </c>
      <c r="BQ86" s="240">
        <f t="shared" si="24"/>
        <v>75</v>
      </c>
      <c r="BR86" s="241">
        <f>(BQ86)/$R$68</f>
        <v>0.00037174444799666919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463</v>
      </c>
      <c r="CK86" s="216">
        <v>0.1</v>
      </c>
      <c r="CL86" s="216">
        <v>0.15</v>
      </c>
      <c r="CM86" s="216"/>
      <c r="CN86" s="216"/>
      <c r="CO86" s="256"/>
    </row>
    <row r="87" ht="18.75">
      <c r="A87" s="552" t="s">
        <v>584</v>
      </c>
      <c r="B87" s="553"/>
      <c r="C87" s="553">
        <v>8</v>
      </c>
      <c r="D87" s="553" t="s">
        <v>28</v>
      </c>
      <c r="E87" s="553">
        <v>200</v>
      </c>
      <c r="F87" s="553">
        <f>C87*E87</f>
        <v>1600</v>
      </c>
      <c r="G87" s="558"/>
      <c r="H87" s="543"/>
      <c r="I87" s="558"/>
      <c r="J87" s="558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75</v>
      </c>
      <c r="V87" s="240">
        <f t="shared" si="25"/>
        <v>75</v>
      </c>
      <c r="W87" s="241">
        <f>(V87)/$R$68</f>
        <v>0.00037174444799666919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4"/>
        <v>480</v>
      </c>
      <c r="BR87" s="241">
        <f>(BQ87)/$R$68</f>
        <v>0.0023791644671786825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.75">
      <c r="A88" s="552" t="s">
        <v>581</v>
      </c>
      <c r="B88" s="553"/>
      <c r="C88" s="553">
        <f>B76*2</f>
        <v>64</v>
      </c>
      <c r="D88" s="553" t="s">
        <v>28</v>
      </c>
      <c r="E88" s="553">
        <v>90</v>
      </c>
      <c r="F88" s="553">
        <f>C88*E88</f>
        <v>5760</v>
      </c>
      <c r="G88" s="558"/>
      <c r="H88" s="543"/>
      <c r="I88" s="543"/>
      <c r="J88" s="543"/>
      <c r="K88" s="187"/>
      <c r="L88" s="211">
        <v>4</v>
      </c>
      <c r="M88" s="212">
        <f>M95</f>
        <v>0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30</v>
      </c>
      <c r="V88" s="240">
        <f t="shared" si="25"/>
        <v>0</v>
      </c>
      <c r="W88" s="241">
        <f>(V88)/$R$68</f>
        <v>0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4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52" t="s">
        <v>582</v>
      </c>
      <c r="B89" s="553"/>
      <c r="C89" s="553">
        <f>B76*2</f>
        <v>64</v>
      </c>
      <c r="D89" s="553" t="s">
        <v>28</v>
      </c>
      <c r="E89" s="553">
        <v>90</v>
      </c>
      <c r="F89" s="553">
        <f>C89*E89</f>
        <v>5760</v>
      </c>
      <c r="G89" s="558"/>
      <c r="H89" s="543"/>
      <c r="I89" s="543"/>
      <c r="J89" s="543"/>
      <c r="K89" s="187"/>
      <c r="L89" s="211">
        <v>5</v>
      </c>
      <c r="M89" s="212">
        <f>IF((I74="بالتات"),0,4)</f>
        <v>4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1000</v>
      </c>
      <c r="V89" s="240">
        <f t="shared" si="25"/>
        <v>4000</v>
      </c>
      <c r="W89" s="241">
        <f>(V89)/$R$68</f>
        <v>0.019826370559822355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1925</v>
      </c>
      <c r="BR89" s="244">
        <f>Table15617293104[[#Totals],[اجمالي]]/$R$68</f>
        <v>0.00954144083191451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52" t="s">
        <v>585</v>
      </c>
      <c r="B90" s="553">
        <v>2</v>
      </c>
      <c r="C90" s="553"/>
      <c r="D90" s="553" t="s">
        <v>563</v>
      </c>
      <c r="E90" s="553">
        <v>1000</v>
      </c>
      <c r="F90" s="553">
        <f>B90*E90</f>
        <v>2000</v>
      </c>
      <c r="G90" s="558"/>
      <c r="H90" s="543"/>
      <c r="I90" s="543"/>
      <c r="J90" s="543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5045</v>
      </c>
      <c r="W90" s="244">
        <f>Table15617293[[#Totals],[اجمالي]]/$R$68</f>
        <v>0.025006009868575946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29" t="s">
        <v>99</v>
      </c>
      <c r="BK90" s="629"/>
      <c r="BL90" s="629"/>
      <c r="BM90" s="629"/>
      <c r="BN90" s="629"/>
      <c r="BO90" s="629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52" t="s">
        <v>586</v>
      </c>
      <c r="B91" s="553"/>
      <c r="C91" s="553">
        <f>ROUNDUP(((C76*B76)/100),0)</f>
        <v>123</v>
      </c>
      <c r="D91" s="553" t="s">
        <v>563</v>
      </c>
      <c r="E91" s="553">
        <v>5</v>
      </c>
      <c r="F91" s="553">
        <f>C91*E91</f>
        <v>615</v>
      </c>
      <c r="G91" s="558"/>
      <c r="H91" s="543"/>
      <c r="I91" s="543"/>
      <c r="J91" s="543"/>
      <c r="K91" s="187"/>
      <c r="L91" s="216"/>
      <c r="M91" s="216"/>
      <c r="N91" s="217"/>
      <c r="O91" s="629" t="s">
        <v>99</v>
      </c>
      <c r="P91" s="629"/>
      <c r="Q91" s="629"/>
      <c r="R91" s="629"/>
      <c r="S91" s="629"/>
      <c r="T91" s="629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552" t="s">
        <v>587</v>
      </c>
      <c r="B92" s="553" t="s">
        <v>588</v>
      </c>
      <c r="C92" s="553">
        <f>ROUNDUP((B76/3),0)</f>
        <v>11</v>
      </c>
      <c r="D92" s="553" t="s">
        <v>28</v>
      </c>
      <c r="E92" s="553">
        <v>175</v>
      </c>
      <c r="F92" s="553">
        <f>C92*E92</f>
        <v>1925</v>
      </c>
      <c r="G92" s="543"/>
      <c r="H92" s="543"/>
      <c r="I92" s="543"/>
      <c r="J92" s="543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900</v>
      </c>
      <c r="BQ92" s="240">
        <f>BH92*BP92</f>
        <v>3600</v>
      </c>
      <c r="BR92" s="249">
        <f>(BQ92)/$R$68</f>
        <v>0.017843733503840119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52" t="s">
        <v>589</v>
      </c>
      <c r="B93" s="553" t="s">
        <v>590</v>
      </c>
      <c r="C93" s="553">
        <f>C92</f>
        <v>11</v>
      </c>
      <c r="D93" s="553" t="s">
        <v>28</v>
      </c>
      <c r="E93" s="553">
        <v>40</v>
      </c>
      <c r="F93" s="553">
        <f>E93*C93</f>
        <v>440</v>
      </c>
      <c r="G93" s="543"/>
      <c r="H93" s="543"/>
      <c r="I93" s="543"/>
      <c r="J93" s="543"/>
      <c r="L93" s="211">
        <v>1</v>
      </c>
      <c r="M93" s="212">
        <f>IF((I74="بالتات"),4,0)</f>
        <v>0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900</v>
      </c>
      <c r="V93" s="240">
        <f>M93*U93</f>
        <v>0</v>
      </c>
      <c r="W93" s="249">
        <f>(V93)/$R$68</f>
        <v>0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470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525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52" t="s">
        <v>591</v>
      </c>
      <c r="B94" s="553" t="s">
        <v>28</v>
      </c>
      <c r="C94" s="553">
        <v>2</v>
      </c>
      <c r="D94" s="553" t="s">
        <v>28</v>
      </c>
      <c r="E94" s="553">
        <v>300</v>
      </c>
      <c r="F94" s="553">
        <f>E94*C94</f>
        <v>600</v>
      </c>
      <c r="G94" s="543"/>
      <c r="H94" s="543"/>
      <c r="I94" s="543"/>
      <c r="J94" s="543"/>
      <c r="L94" s="211">
        <v>2</v>
      </c>
      <c r="M94" s="219">
        <v>0</v>
      </c>
      <c r="N94" s="220" t="s">
        <v>470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525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56.25</v>
      </c>
      <c r="BQ94" s="240">
        <f>BH94*BP94</f>
        <v>900</v>
      </c>
      <c r="BR94" s="251">
        <f>(BQ94)/$R$68</f>
        <v>0.00446093337596003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52" t="s">
        <v>184</v>
      </c>
      <c r="B95" s="553" t="s">
        <v>28</v>
      </c>
      <c r="C95" s="553">
        <v>1</v>
      </c>
      <c r="D95" s="553" t="s">
        <v>28</v>
      </c>
      <c r="E95" s="553">
        <v>5000</v>
      </c>
      <c r="F95" s="553">
        <f>E95*C95</f>
        <v>5000</v>
      </c>
      <c r="G95" s="543"/>
      <c r="H95" s="543"/>
      <c r="I95" s="543"/>
      <c r="J95" s="543"/>
      <c r="L95" s="211">
        <v>3</v>
      </c>
      <c r="M95" s="212">
        <f>M93*4</f>
        <v>0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85</v>
      </c>
      <c r="S95" s="211">
        <v>0.75</v>
      </c>
      <c r="T95" s="211"/>
      <c r="U95" s="243">
        <f>S95*$S$2/1000</f>
        <v>56.25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4500</v>
      </c>
      <c r="BR95" s="244">
        <f>Table16627394105[[#Totals],[اجمالي]]/$R$68</f>
        <v>0.02230466687980015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61" t="s">
        <v>58</v>
      </c>
      <c r="B96" s="562">
        <f>(Table80102114115[[#Totals],[price]]*1.1)/(F74*D74/10000)</f>
        <v>7595.3900000000012</v>
      </c>
      <c r="C96" s="563"/>
      <c r="D96" s="563"/>
      <c r="E96" s="563"/>
      <c r="F96" s="563">
        <f>SUBTOTAL(109,Table80102114115[price])</f>
        <v>138098</v>
      </c>
      <c r="G96" s="543"/>
      <c r="H96" s="543"/>
      <c r="I96" s="543"/>
      <c r="J96" s="543"/>
      <c r="L96" s="211" t="s">
        <v>58</v>
      </c>
      <c r="M96" s="212">
        <f>SUBTOTAL(109,Table16627394[عدد])</f>
        <v>0</v>
      </c>
      <c r="N96" s="213" t="s">
        <v>58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29" t="s">
        <v>102</v>
      </c>
      <c r="BK96" s="629"/>
      <c r="BL96" s="629"/>
      <c r="BM96" s="629"/>
      <c r="BN96" s="629"/>
      <c r="BO96" s="629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200"/>
      <c r="L97" s="216"/>
      <c r="M97" s="216"/>
      <c r="N97" s="217"/>
      <c r="O97" s="629" t="s">
        <v>102</v>
      </c>
      <c r="P97" s="629"/>
      <c r="Q97" s="629"/>
      <c r="R97" s="629"/>
      <c r="S97" s="629"/>
      <c r="T97" s="629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2.5366666666666666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325</v>
      </c>
      <c r="BQ98" s="240">
        <f ref="BQ98:BQ110" t="shared" si="26">BH98*BP98</f>
        <v>824.41666666666663</v>
      </c>
      <c r="BR98" s="241">
        <f ref="BR98:BR112" t="shared" si="27" ca="1">(BQ98)/$R$68</f>
        <v>0.00408629758225672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0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325</v>
      </c>
      <c r="V99" s="240">
        <f ref="V99:V104" t="shared" si="28">M99*U99</f>
        <v>0</v>
      </c>
      <c r="W99" s="241">
        <f ref="W99:W113" t="shared" si="29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30">BP29</f>
        <v>18</v>
      </c>
      <c r="BQ99" s="240">
        <f t="shared" si="26"/>
        <v>54</v>
      </c>
      <c r="BR99" s="241">
        <f t="shared" si="27" ca="1"/>
        <v>0.00026765600255760182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20</v>
      </c>
      <c r="V100" s="240">
        <f t="shared" si="28"/>
        <v>60</v>
      </c>
      <c r="W100" s="241">
        <f t="shared" si="29" ca="1"/>
        <v>0.00029739555839733531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30"/>
        <v>18</v>
      </c>
      <c r="BQ100" s="240">
        <f t="shared" si="26"/>
        <v>54</v>
      </c>
      <c r="BR100" s="241">
        <f t="shared" si="27" ca="1"/>
        <v>0.00026765600255760182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20</v>
      </c>
      <c r="V101" s="240">
        <f t="shared" si="28"/>
        <v>60</v>
      </c>
      <c r="W101" s="241">
        <f t="shared" si="29" ca="1"/>
        <v>0.00029739555839733531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30"/>
        <v>25</v>
      </c>
      <c r="BQ101" s="240">
        <f t="shared" si="26"/>
        <v>25</v>
      </c>
      <c r="BR101" s="241">
        <f t="shared" si="27" ca="1"/>
        <v>0.00012391481599888972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8"/>
        <v>40</v>
      </c>
      <c r="W102" s="241">
        <f t="shared" si="29" ca="1"/>
        <v>0.00019826370559822355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30"/>
        <v>150</v>
      </c>
      <c r="BQ102" s="240">
        <f t="shared" si="26"/>
        <v>150</v>
      </c>
      <c r="BR102" s="241">
        <f t="shared" si="27" ca="1"/>
        <v>0.00074348889599333838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8"/>
        <v>150</v>
      </c>
      <c r="W103" s="241">
        <f t="shared" si="29" ca="1"/>
        <v>0.00074348889599333838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30"/>
        <v>40</v>
      </c>
      <c r="BQ103" s="240">
        <f t="shared" si="26"/>
        <v>80</v>
      </c>
      <c r="BR103" s="241">
        <f t="shared" si="27" ca="1"/>
        <v>0.0003965274111964471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8"/>
        <v>80</v>
      </c>
      <c r="W104" s="241">
        <f t="shared" si="29" ca="1"/>
        <v>0.0003965274111964471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5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30"/>
        <v>210</v>
      </c>
      <c r="BQ104" s="240">
        <f t="shared" si="26"/>
        <v>1050</v>
      </c>
      <c r="BR104" s="251">
        <f t="shared" si="27" ca="1"/>
        <v>0.005204422271953368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210</v>
      </c>
      <c r="V105" s="240">
        <f ref="V105:V111" t="shared" si="31">M105*U105</f>
        <v>0</v>
      </c>
      <c r="W105" s="251">
        <f t="shared" si="29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2">ROUNDUP(CH80,0)</f>
        <v>6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30"/>
        <v>90</v>
      </c>
      <c r="BQ105" s="240">
        <f t="shared" si="26"/>
        <v>540</v>
      </c>
      <c r="BR105" s="251">
        <f t="shared" si="27" ca="1"/>
        <v>0.002676560025576018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90</v>
      </c>
      <c r="V106" s="240">
        <f t="shared" si="31"/>
        <v>360</v>
      </c>
      <c r="W106" s="251">
        <f t="shared" si="29" ca="1"/>
        <v>0.0017843733503840121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2"/>
        <v>8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30"/>
        <v>410</v>
      </c>
      <c r="BQ106" s="240">
        <f t="shared" si="26"/>
        <v>3280</v>
      </c>
      <c r="BR106" s="251">
        <f t="shared" si="27" ca="1"/>
        <v>0.01625762385905433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410</v>
      </c>
      <c r="V107" s="240">
        <f t="shared" si="31"/>
        <v>0</v>
      </c>
      <c r="W107" s="251">
        <f t="shared" si="29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/>
      <c r="BI107" s="213"/>
      <c r="BJ107" s="214"/>
      <c r="BK107" s="214"/>
      <c r="BL107" s="214"/>
      <c r="BM107" s="211"/>
      <c r="BN107" s="211"/>
      <c r="BO107" s="211"/>
      <c r="BP107" s="248">
        <f t="shared" si="30"/>
        <v>20</v>
      </c>
      <c r="BQ107" s="240">
        <f t="shared" si="26"/>
        <v>0</v>
      </c>
      <c r="BR107" s="251">
        <f t="shared" si="27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1"/>
        <v>0</v>
      </c>
      <c r="W108" s="251">
        <f t="shared" si="29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IF((تسعير!CO83="B"),(Table15880101112[[#Totals],[الوزن]]+Table16627394105[[#Totals],[الوزن]]),0)</f>
        <v>0</v>
      </c>
      <c r="BI108" s="213" t="s">
        <v>132</v>
      </c>
      <c r="BJ108" s="214"/>
      <c r="BK108" s="214"/>
      <c r="BL108" s="214"/>
      <c r="BM108" s="211"/>
      <c r="BN108" s="211"/>
      <c r="BO108" s="211"/>
      <c r="BP108" s="248">
        <f t="shared" si="30"/>
        <v>350</v>
      </c>
      <c r="BQ108" s="240">
        <f t="shared" si="26"/>
        <v>0</v>
      </c>
      <c r="BR108" s="251">
        <f t="shared" si="27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IF((تسعير!AT83="B"),(Table15880101[[#Totals],[الوزن]]+Table16627394[[#Totals],[الوزن]]),0)</f>
        <v>0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20</v>
      </c>
      <c r="V109" s="240">
        <f t="shared" si="31"/>
        <v>0</v>
      </c>
      <c r="W109" s="251">
        <f t="shared" si="29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9" s="213" t="s">
        <v>62</v>
      </c>
      <c r="BJ109" s="214"/>
      <c r="BK109" s="214"/>
      <c r="BL109" s="214"/>
      <c r="BM109" s="211" t="s">
        <v>115</v>
      </c>
      <c r="BN109" s="211"/>
      <c r="BO109" s="211"/>
      <c r="BP109" s="248">
        <f t="shared" si="30"/>
        <v>450</v>
      </c>
      <c r="BQ109" s="240">
        <f t="shared" si="26"/>
        <v>0</v>
      </c>
      <c r="BR109" s="251">
        <f t="shared" si="27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15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350</v>
      </c>
      <c r="V110" s="240">
        <f t="shared" si="31"/>
        <v>5250</v>
      </c>
      <c r="W110" s="251">
        <f t="shared" si="29" ca="1"/>
        <v>0.026022111359766842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212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10" s="218" t="s">
        <v>70</v>
      </c>
      <c r="BJ110" s="214"/>
      <c r="BK110" s="214"/>
      <c r="BL110" s="214"/>
      <c r="BM110" s="218" t="s">
        <v>116</v>
      </c>
      <c r="BN110" s="211"/>
      <c r="BO110" s="211"/>
      <c r="BP110" s="248">
        <f t="shared" si="30"/>
        <v>160</v>
      </c>
      <c r="BQ110" s="240">
        <f t="shared" si="26"/>
        <v>0</v>
      </c>
      <c r="BR110" s="251">
        <f t="shared" si="27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15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450</v>
      </c>
      <c r="V111" s="240">
        <f t="shared" si="31"/>
        <v>6750</v>
      </c>
      <c r="W111" s="251">
        <f t="shared" si="29" ca="1"/>
        <v>0.033457000319700225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212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1" s="218" t="s">
        <v>78</v>
      </c>
      <c r="BJ111" s="214"/>
      <c r="BK111" s="214"/>
      <c r="BL111" s="214"/>
      <c r="BM111" s="218" t="s">
        <v>117</v>
      </c>
      <c r="BN111" s="211"/>
      <c r="BO111" s="211"/>
      <c r="BP111" s="248">
        <f t="shared" si="30"/>
        <v>160</v>
      </c>
      <c r="BQ111" s="240">
        <f>BH111*BP112</f>
        <v>0</v>
      </c>
      <c r="BR111" s="251">
        <f t="shared" si="27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800</v>
      </c>
      <c r="W112" s="251">
        <f t="shared" si="29" ca="1"/>
        <v>0.0039652741119644711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212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2" s="218" t="s">
        <v>80</v>
      </c>
      <c r="BJ112" s="214"/>
      <c r="BK112" s="214"/>
      <c r="BL112" s="214"/>
      <c r="BM112" s="218" t="s">
        <v>117</v>
      </c>
      <c r="BN112" s="211"/>
      <c r="BO112" s="211"/>
      <c r="BP112" s="248">
        <f t="shared" si="30"/>
        <v>0</v>
      </c>
      <c r="BQ112" s="240">
        <f>BH112*BP113</f>
        <v>0</v>
      </c>
      <c r="BR112" s="251">
        <f t="shared" si="27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9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21" t="s">
        <v>58</v>
      </c>
      <c r="BH113" s="522"/>
      <c r="BI113" s="523" t="s">
        <v>58</v>
      </c>
      <c r="BJ113" s="524"/>
      <c r="BK113" s="524"/>
      <c r="BL113" s="524"/>
      <c r="BM113" s="521" t="s">
        <v>118</v>
      </c>
      <c r="BN113" s="521"/>
      <c r="BO113" s="521"/>
      <c r="BP113" s="526"/>
      <c r="BQ113" s="527">
        <f>SUBTOTAL(109,Table13597192103[اجمالي])</f>
        <v>6057.4166666666661</v>
      </c>
      <c r="BR113" s="528">
        <f>Table13597192103[[#Totals],[اجمالي]]/$R$68</f>
        <v>0.030024146867144313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21" t="s">
        <v>58</v>
      </c>
      <c r="M114" s="522"/>
      <c r="N114" s="523" t="s">
        <v>58</v>
      </c>
      <c r="O114" s="524"/>
      <c r="P114" s="524"/>
      <c r="Q114" s="524"/>
      <c r="R114" s="521" t="s">
        <v>118</v>
      </c>
      <c r="S114" s="521"/>
      <c r="T114" s="521"/>
      <c r="U114" s="526"/>
      <c r="V114" s="527">
        <f>SUBTOTAL(109,Table13597192[اجمالي])</f>
        <v>13550</v>
      </c>
      <c r="W114" s="528">
        <f>Table13597192[[#Totals],[اجمالي]]/$R$68</f>
        <v>0.067161830271398229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29" t="s">
        <v>131</v>
      </c>
      <c r="BK115" s="629"/>
      <c r="BL115" s="629"/>
      <c r="BM115" s="629"/>
      <c r="BN115" s="629"/>
      <c r="BO115" s="629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29" t="s">
        <v>131</v>
      </c>
      <c r="P116" s="629"/>
      <c r="Q116" s="629"/>
      <c r="R116" s="629"/>
      <c r="S116" s="629"/>
      <c r="T116" s="629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555</v>
      </c>
      <c r="BJ117" s="214"/>
      <c r="BK117" s="211"/>
      <c r="BL117" s="216"/>
      <c r="BM117" s="214"/>
      <c r="BN117" s="211"/>
      <c r="BO117" s="247"/>
      <c r="BP117" s="248">
        <f>Table80102113[[#Totals],[price]]</f>
        <v>93241.5</v>
      </c>
      <c r="BQ117" s="252">
        <f>BH117*Table1613687798109[[#This Row],[سعر الشبك ]]</f>
        <v>93241.5</v>
      </c>
      <c r="BR117" s="241">
        <f>(BQ117)/$R$68</f>
        <v>0.46216013263841904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555</v>
      </c>
      <c r="O118" s="214"/>
      <c r="P118" s="211"/>
      <c r="Q118" s="216"/>
      <c r="R118" s="214"/>
      <c r="S118" s="211"/>
      <c r="T118" s="247"/>
      <c r="U118" s="248">
        <f>F96</f>
        <v>138098</v>
      </c>
      <c r="V118" s="252">
        <f>M118*Table1613687798[[#This Row],[سعر الشبك ]]</f>
        <v>138098</v>
      </c>
      <c r="W118" s="241">
        <f>(V118)/$R$68</f>
        <v>0.68449553039258693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93241.5</v>
      </c>
      <c r="BQ118" s="240">
        <f>BH118*Table1613687798109[[#This Row],[سعر الشبك ]]</f>
        <v>9324.15</v>
      </c>
      <c r="BR118" s="241">
        <f>(BQ118)/$R$68</f>
        <v>0.0462160132638419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0.25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F96</f>
        <v>138098</v>
      </c>
      <c r="V119" s="240">
        <f>M119*Table1613687798[[#This Row],[سعر الشبك ]]</f>
        <v>34524.5</v>
      </c>
      <c r="W119" s="241">
        <f>(V119)/$R$68</f>
        <v>0.17112388259814673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102565.65</v>
      </c>
      <c r="BR119" s="244">
        <f>Table1613687798109[[#Totals],[اجمالي]]/$R$68</f>
        <v>0.50837614590226088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172622.5</v>
      </c>
      <c r="W120" s="244">
        <f>Table1613687798[[#Totals],[اجمالي]]/$R$68</f>
        <v>0.85561941299073363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29" t="s">
        <v>133</v>
      </c>
      <c r="BK120" s="629"/>
      <c r="BL120" s="629"/>
      <c r="BM120" s="629"/>
      <c r="BN120" s="629"/>
      <c r="BO120" s="629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29" t="s">
        <v>133</v>
      </c>
      <c r="P121" s="629"/>
      <c r="Q121" s="629"/>
      <c r="R121" s="629"/>
      <c r="S121" s="629"/>
      <c r="T121" s="629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3" ca="1">BH122*BP122</f>
        <v>370</v>
      </c>
      <c r="BR122" s="241">
        <f ref="BR122:BR134" t="shared" si="34" ca="1">(BQ122)/$R$68</f>
        <v>0.001833939276783568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5" ca="1">M123*U123</f>
        <v>400</v>
      </c>
      <c r="W123" s="241">
        <f ref="W123:W135" t="shared" si="36" ca="1">(V123)/$R$68</f>
        <v>0.0019826370559822355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3" ca="1"/>
        <v>370</v>
      </c>
      <c r="BR123" s="241">
        <f t="shared" si="34" ca="1"/>
        <v>0.001833939276783568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5" ca="1"/>
        <v>400</v>
      </c>
      <c r="W124" s="241">
        <f t="shared" si="36" ca="1"/>
        <v>0.0019826370559822355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3"/>
        <v>0</v>
      </c>
      <c r="BR124" s="241">
        <f t="shared" si="34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5"/>
        <v>0</v>
      </c>
      <c r="W125" s="241">
        <f t="shared" si="36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3" ca="1"/>
        <v>1110</v>
      </c>
      <c r="BR125" s="241">
        <f t="shared" si="34" ca="1"/>
        <v>0.005501817830350704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5" ca="1"/>
        <v>1200</v>
      </c>
      <c r="W126" s="241">
        <f t="shared" si="36" ca="1"/>
        <v>0.0059479111679467071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3" ca="1"/>
        <v>2480</v>
      </c>
      <c r="BR126" s="241">
        <f t="shared" si="34" ca="1"/>
        <v>0.01229234974708986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العمل]]="المصنع"),200,IF((Table1612677697[[#This Row],[موقع العمل]]="الاسكندرية"),200,250))</f>
        <v>200</v>
      </c>
      <c r="P127" s="211">
        <f>SUMIF(Table17697899[Column1],Table1612677697[[#This Row],[موقع العمل]],$AB$2:$AB$20)</f>
        <v>0</v>
      </c>
      <c r="Q127" s="211" t="str">
        <f>تسعير!$BE$24</f>
        <v>الاسكندرية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7" s="240">
        <f t="shared" si="35" ca="1"/>
        <v>1600</v>
      </c>
      <c r="W127" s="241">
        <f t="shared" si="36" ca="1"/>
        <v>0.0079305482239289422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3" ca="1"/>
        <v>1860</v>
      </c>
      <c r="BR127" s="241">
        <f t="shared" si="34" ca="1"/>
        <v>0.0092192623103173957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العمل]]="المصنع"),200,IF((Table1612677697[[#This Row],[موقع العمل]]="الاسكندرية"),200,250))</f>
        <v>200</v>
      </c>
      <c r="P128" s="211">
        <f>SUMIF(Table17697899[Column1],Table1612677697[[#This Row],[موقع العمل]],$AB$2:$AB$20)</f>
        <v>0</v>
      </c>
      <c r="Q128" s="211" t="str">
        <f>تسعير!$BE$24</f>
        <v>الاسكندرية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8" s="240">
        <f t="shared" si="35" ca="1"/>
        <v>1200</v>
      </c>
      <c r="W128" s="241">
        <f t="shared" si="36" ca="1"/>
        <v>0.0059479111679467071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3"/>
        <v>0</v>
      </c>
      <c r="BR128" s="241">
        <f t="shared" si="34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العمل]]="المصنع"),200,IF((Table1612677697[[#This Row],[موقع العمل]]="الاسكندرية"),200,250))</f>
        <v>200</v>
      </c>
      <c r="P129" s="211">
        <f>SUMIF(Table17697899[Column1],Table1612677697[[#This Row],[موقع العمل]],$AB$2:$AB$20)</f>
        <v>0</v>
      </c>
      <c r="Q129" s="211" t="str">
        <f>تسعير!$BE$24</f>
        <v>الاسكندرية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5"/>
        <v>0</v>
      </c>
      <c r="W129" s="241">
        <f t="shared" si="36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3" ca="1"/>
        <v>2480</v>
      </c>
      <c r="BR129" s="241">
        <f t="shared" si="34" ca="1"/>
        <v>0.01229234974708986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العمل]]="المصنع"),200,IF((Table1612677697[[#This Row],[موقع العمل]]="الاسكندرية"),200,250))</f>
        <v>200</v>
      </c>
      <c r="P130" s="211">
        <f>SUMIF(Table17697899[Column1],Table1612677697[[#This Row],[موقع العمل]],$AB$2:$AB$20)</f>
        <v>0</v>
      </c>
      <c r="Q130" s="211" t="str">
        <f>تسعير!$BE$24</f>
        <v>الاسكندرية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30" s="240">
        <f t="shared" si="35" ca="1"/>
        <v>1600</v>
      </c>
      <c r="W130" s="241">
        <f t="shared" si="36" ca="1"/>
        <v>0.0079305482239289422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3" ca="1"/>
        <v>2640</v>
      </c>
      <c r="BR130" s="241">
        <f t="shared" si="34" ca="1"/>
        <v>0.013085404569482755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الاسكندرية</v>
      </c>
      <c r="R131" s="214"/>
      <c r="S131" s="247">
        <f>SUMIF(Table17697899[Column1],Table1612677697[[#This Row],[موقع العمل]],$Z$2:$Z$20)</f>
        <v>0</v>
      </c>
      <c r="T131" s="247"/>
      <c r="U131" s="243">
        <f>Table1612677697[[#This Row],[Column12]]</f>
        <v>0</v>
      </c>
      <c r="V131" s="240">
        <f t="shared" si="35" ca="1"/>
        <v>0</v>
      </c>
      <c r="W131" s="241">
        <f t="shared" si="36" ca="1"/>
        <v>0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3" ca="1"/>
        <v>2250</v>
      </c>
      <c r="BR131" s="241">
        <f t="shared" si="34" ca="1"/>
        <v>0.011152333439900075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الاسكندرية</v>
      </c>
      <c r="R132" s="214"/>
      <c r="S132" s="247">
        <f>SUMIF(Table17697899[Column1],Table1612677697[[#This Row],[موقع العمل]],$AA$2:$AA$20)</f>
        <v>0</v>
      </c>
      <c r="T132" s="247"/>
      <c r="U132" s="243">
        <f>Table1612677697[[#This Row],[Column12]]</f>
        <v>0</v>
      </c>
      <c r="V132" s="240">
        <f t="shared" si="35" ca="1"/>
        <v>0</v>
      </c>
      <c r="W132" s="241">
        <f t="shared" si="36" ca="1"/>
        <v>0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3" ca="1"/>
        <v>0</v>
      </c>
      <c r="BR132" s="241">
        <f t="shared" si="34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الاسكندرية</v>
      </c>
      <c r="R133" s="214"/>
      <c r="S133" s="247">
        <f>SUMIF(Table17697899[Column1],Table1612677697[[#This Row],[موقع العمل]],$AC$2:$AC$20)</f>
        <v>500</v>
      </c>
      <c r="T133" s="247"/>
      <c r="U133" s="243">
        <f>Table1612677697[[#This Row],[Column12]]</f>
        <v>500</v>
      </c>
      <c r="V133" s="240">
        <f t="shared" si="35" ca="1"/>
        <v>0</v>
      </c>
      <c r="W133" s="241">
        <f t="shared" si="36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3" ca="1"/>
        <v>4600</v>
      </c>
      <c r="BR133" s="241">
        <f t="shared" si="34" ca="1"/>
        <v>0.022800326143795711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الاسكندرية</v>
      </c>
      <c r="R134" s="214"/>
      <c r="S134" s="247">
        <f>SUMIF(Table17697899[Column1],Table1612677697[[#This Row],[موقع العمل]],$AD$2:$AD$20)</f>
        <v>1000</v>
      </c>
      <c r="T134" s="247"/>
      <c r="U134" s="243">
        <f>Table1612677697[[#This Row],[Column12]]</f>
        <v>1000</v>
      </c>
      <c r="V134" s="240">
        <f t="shared" si="35" ca="1"/>
        <v>2000</v>
      </c>
      <c r="W134" s="241">
        <f t="shared" si="36" ca="1"/>
        <v>0.0099131852799111773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3" ca="1"/>
        <v>840</v>
      </c>
      <c r="BR134" s="241">
        <f t="shared" si="34" ca="1"/>
        <v>0.0041635378175626948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الاسكندرية</v>
      </c>
      <c r="R135" s="214"/>
      <c r="S135" s="247">
        <f>SUMIF(Table17697899[Column1],Table1612677697[[#This Row],[موقع العمل]],$AE$2:$AE$8)</f>
        <v>0</v>
      </c>
      <c r="T135" s="247"/>
      <c r="U135" s="243">
        <f>Table1612677697[[#This Row],[Column12]]</f>
        <v>0</v>
      </c>
      <c r="V135" s="240">
        <f t="shared" si="35" ca="1"/>
        <v>0</v>
      </c>
      <c r="W135" s="241">
        <f t="shared" si="36" ca="1"/>
        <v>0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58</v>
      </c>
      <c r="BH135" s="275"/>
      <c r="BI135" s="276" t="s">
        <v>58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0.094175260159156185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21" t="s">
        <v>58</v>
      </c>
      <c r="M136" s="522"/>
      <c r="N136" s="523" t="s">
        <v>58</v>
      </c>
      <c r="O136" s="521"/>
      <c r="P136" s="521"/>
      <c r="Q136" s="524"/>
      <c r="R136" s="524"/>
      <c r="S136" s="525">
        <f>SUBTOTAL(109,Table1612677697[Column12])</f>
        <v>1500</v>
      </c>
      <c r="T136" s="521"/>
      <c r="U136" s="526"/>
      <c r="V136" s="527">
        <f>SUBTOTAL(109,Table1612677697[اجمالي])</f>
        <v>8400</v>
      </c>
      <c r="W136" s="528">
        <f>Table1612677697[[#Totals],[اجمالي]]/$R$68</f>
        <v>0.041635378175626944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22"/>
      <c r="BK136" s="622"/>
      <c r="BL136" s="622"/>
      <c r="BM136" s="622"/>
      <c r="BN136" s="622"/>
      <c r="BO136" s="622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22"/>
      <c r="P137" s="622"/>
      <c r="Q137" s="622"/>
      <c r="R137" s="622"/>
      <c r="S137" s="622"/>
      <c r="T137" s="622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159248.06666666665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224817.5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207022.48666666666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20">
        <f>IF((Q135="المقطم"),0.3,IF((Q135="التجمع"),0.3,IF((Q135="الشيخ زايد"),0.3,IF((Q135="الاسكندرية"),0.5,0.35))))</f>
        <v>0.5</v>
      </c>
      <c r="R140" s="291">
        <f>R139*(1+Table187079100[[#This Row],[Column3]])</f>
        <v>337226.25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318"/>
      <c r="B143" s="319"/>
      <c r="C143" s="319"/>
      <c r="D143" s="319"/>
      <c r="E143" s="319"/>
      <c r="F143" s="319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disablePrompts="1" count="1">
    <dataValidation type="list" allowBlank="1" showInputMessage="1" showErrorMessage="1" sqref="R52:R64 R123:R135 BM51:BM63 BM122:BM134" xr:uid="{9725F6C1-5023-40E8-875A-BF9C773F03A9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8" t="s">
        <v>419</v>
      </c>
      <c r="K1" s="658"/>
      <c r="L1" s="658"/>
      <c r="M1" s="658"/>
      <c r="N1" s="658"/>
      <c r="O1" s="658"/>
      <c r="P1" s="658"/>
      <c r="Q1" s="658"/>
      <c r="R1" s="658"/>
      <c r="S1" s="658"/>
    </row>
    <row r="2" ht="18" customHeight="1">
      <c r="A2" s="11" t="s">
        <v>357</v>
      </c>
      <c r="B2" s="651">
        <f>Royal!C3</f>
        <v>0</v>
      </c>
      <c r="C2" s="652"/>
      <c r="D2" s="652"/>
      <c r="E2" s="652"/>
      <c r="F2" s="653"/>
      <c r="G2" s="1">
        <v>1</v>
      </c>
      <c r="J2" s="658"/>
      <c r="K2" s="658"/>
      <c r="L2" s="658"/>
      <c r="M2" s="658"/>
      <c r="N2" s="658"/>
      <c r="O2" s="658"/>
      <c r="P2" s="658"/>
      <c r="Q2" s="658"/>
      <c r="R2" s="658"/>
      <c r="S2" s="658"/>
    </row>
    <row r="3" ht="18" customHeight="1">
      <c r="A3" s="11" t="s">
        <v>420</v>
      </c>
      <c r="F3" s="650" t="s">
        <v>421</v>
      </c>
      <c r="G3" s="650"/>
    </row>
    <row r="4" ht="18" customHeight="1">
      <c r="A4" s="11" t="s">
        <v>289</v>
      </c>
      <c r="F4" s="654" t="s">
        <v>422</v>
      </c>
      <c r="G4" s="655"/>
      <c r="H4" s="655"/>
      <c r="I4" s="656"/>
      <c r="J4" s="10"/>
    </row>
    <row r="5" ht="18" customHeight="1">
      <c r="A5" s="11" t="s">
        <v>290</v>
      </c>
      <c r="F5" s="657" t="s">
        <v>423</v>
      </c>
      <c r="G5" s="648"/>
      <c r="H5" s="648"/>
      <c r="I5" s="649"/>
      <c r="J5" s="10"/>
    </row>
    <row r="6" ht="18" customHeight="1">
      <c r="A6" s="11" t="s">
        <v>361</v>
      </c>
      <c r="Q6" s="642"/>
      <c r="R6" s="642"/>
      <c r="S6" s="642"/>
    </row>
    <row r="7" ht="18" customHeight="1">
      <c r="B7" s="180" t="s">
        <v>125</v>
      </c>
      <c r="C7" s="181">
        <f>تسعير!AA10</f>
        <v>500</v>
      </c>
      <c r="D7" s="182" t="s">
        <v>424</v>
      </c>
      <c r="E7" s="183">
        <f>تسعير!X8</f>
        <v>800</v>
      </c>
    </row>
    <row r="8" ht="18" customHeight="1">
      <c r="F8" s="1">
        <v>5</v>
      </c>
    </row>
    <row r="9" ht="18" customHeight="1">
      <c r="A9" s="11" t="s">
        <v>291</v>
      </c>
    </row>
    <row r="10" ht="18" customHeight="1">
      <c r="A10" s="11" t="s">
        <v>292</v>
      </c>
    </row>
    <row r="11" ht="18" customHeight="1">
      <c r="A11" s="11" t="s">
        <v>308</v>
      </c>
      <c r="B11" s="637" t="s">
        <v>425</v>
      </c>
      <c r="C11" s="638"/>
      <c r="D11" s="648" t="s">
        <v>426</v>
      </c>
      <c r="E11" s="649"/>
    </row>
    <row r="12" ht="18" customHeight="1">
      <c r="A12" s="11" t="s">
        <v>293</v>
      </c>
    </row>
    <row r="13" ht="18" customHeight="1">
      <c r="A13" s="11" t="s">
        <v>427</v>
      </c>
    </row>
    <row r="14" ht="18" customHeight="1"/>
    <row r="15" ht="24.6" customHeight="1">
      <c r="A15" s="11" t="s">
        <v>296</v>
      </c>
      <c r="Q15" s="642"/>
      <c r="R15" s="642"/>
      <c r="S15" s="642"/>
    </row>
    <row r="16" ht="18" customHeight="1">
      <c r="C16" s="650" t="s">
        <v>428</v>
      </c>
      <c r="D16" s="650"/>
      <c r="E16" s="650"/>
      <c r="F16" s="1" t="s">
        <v>429</v>
      </c>
    </row>
    <row r="17" ht="18" customHeight="1">
      <c r="A17" s="650" t="s">
        <v>294</v>
      </c>
      <c r="B17" s="650"/>
      <c r="C17" s="650"/>
    </row>
    <row r="18" ht="18" customHeight="1">
      <c r="A18" s="639" t="s">
        <v>430</v>
      </c>
      <c r="B18" s="640"/>
      <c r="C18" s="14">
        <f>'Format Φωτισμου'!B9</f>
        <v>5</v>
      </c>
    </row>
    <row r="19" ht="18" customHeight="1">
      <c r="A19" s="639" t="s">
        <v>431</v>
      </c>
      <c r="B19" s="640"/>
      <c r="C19" s="14">
        <f>'Format Φωτισμου'!B12</f>
        <v>15</v>
      </c>
    </row>
    <row r="20" ht="18" customHeight="1">
      <c r="A20" s="639" t="s">
        <v>432</v>
      </c>
      <c r="B20" s="640"/>
      <c r="C20" s="14">
        <f>C19/C18</f>
        <v>3</v>
      </c>
    </row>
    <row r="21" ht="18" customHeight="1">
      <c r="A21" s="644" t="s">
        <v>433</v>
      </c>
      <c r="B21" s="645"/>
      <c r="C21" s="646">
        <v>20</v>
      </c>
      <c r="D21" s="647"/>
      <c r="E21" s="637" t="s">
        <v>434</v>
      </c>
      <c r="F21" s="638"/>
      <c r="G21" s="638"/>
      <c r="H21" s="14">
        <f>C21/C18</f>
        <v>4</v>
      </c>
      <c r="J21" s="643"/>
      <c r="K21" s="643"/>
      <c r="L21" s="643"/>
      <c r="M21" s="643"/>
      <c r="N21" s="643"/>
      <c r="O21" s="643"/>
      <c r="P21" s="643"/>
      <c r="Q21" s="643"/>
      <c r="R21" s="643"/>
      <c r="S21" s="643"/>
    </row>
    <row r="22" ht="18" customHeight="1">
      <c r="A22" s="639" t="s">
        <v>435</v>
      </c>
      <c r="B22" s="640"/>
      <c r="C22" s="179">
        <v>50</v>
      </c>
      <c r="D22" s="184" t="s">
        <v>436</v>
      </c>
      <c r="J22" s="643"/>
      <c r="K22" s="643"/>
      <c r="L22" s="643"/>
      <c r="M22" s="643"/>
      <c r="N22" s="643"/>
      <c r="O22" s="643"/>
      <c r="P22" s="643"/>
      <c r="Q22" s="643"/>
      <c r="R22" s="643"/>
      <c r="S22" s="643"/>
    </row>
    <row r="23" ht="18" customHeight="1">
      <c r="J23" s="643"/>
      <c r="K23" s="643"/>
      <c r="L23" s="643"/>
      <c r="M23" s="643"/>
      <c r="N23" s="643"/>
      <c r="O23" s="643"/>
      <c r="P23" s="643"/>
      <c r="Q23" s="643"/>
      <c r="R23" s="643"/>
      <c r="S23" s="643"/>
    </row>
    <row r="24" ht="18" customHeight="1"/>
    <row r="25" ht="18" customHeight="1">
      <c r="A25" s="11" t="s">
        <v>437</v>
      </c>
      <c r="J25" s="641"/>
      <c r="K25" s="641"/>
      <c r="L25" s="641"/>
      <c r="M25" s="641"/>
      <c r="N25" s="641"/>
      <c r="O25" s="641"/>
      <c r="P25" s="641"/>
      <c r="Q25" s="641"/>
      <c r="R25" s="15"/>
      <c r="S25" s="10"/>
    </row>
    <row r="26" ht="18" customHeight="1">
      <c r="G26" s="1" t="s">
        <v>438</v>
      </c>
      <c r="H26" s="1" t="s">
        <v>439</v>
      </c>
    </row>
    <row r="27" ht="18" customHeight="1">
      <c r="A27" s="11" t="s">
        <v>305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3</v>
      </c>
      <c r="H27" s="185">
        <f>IF(Format!J8=3,تسجيل1!G27,IF(Format!J8=1,تسجيل1!G27-2,IF(Format!J8=2,تسجيل1!G27-1,IF(Format!J8=4,تسجيل1!G27+1,IF(Format!J8=5,تسجيل1!G27+2)))))</f>
        <v>3</v>
      </c>
      <c r="J27" s="642"/>
      <c r="K27" s="642"/>
      <c r="L27" s="642"/>
      <c r="M27" s="642"/>
      <c r="N27" s="642"/>
      <c r="O27" s="642"/>
      <c r="P27" s="642"/>
      <c r="Q27" s="642"/>
      <c r="R27" s="642"/>
      <c r="S27" s="642"/>
    </row>
    <row r="28" ht="18" customHeight="1">
      <c r="A28" s="11" t="s">
        <v>306</v>
      </c>
      <c r="G28" s="185">
        <f>IF(Format!A7=1,Format!E31,IF(Format!A7=2,Format!E31,IF(Format!A7=3,Format!E31,IF(Format!A7=4,Format!E31,IF(Format!A7=5,Format!E31,Format!U31)))))</f>
        <v>12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12</v>
      </c>
    </row>
    <row r="29" ht="18" customHeight="1">
      <c r="G29" s="185">
        <f>IF(H27=2,2,H27+1)</f>
        <v>4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4</v>
      </c>
      <c r="M29" s="15"/>
      <c r="O29" s="15"/>
    </row>
    <row r="30" ht="18" customHeight="1">
      <c r="A30" s="11" t="s">
        <v>308</v>
      </c>
      <c r="G30" s="185">
        <f>G27</f>
        <v>3</v>
      </c>
      <c r="H30" s="185">
        <f>IF(Format!M8=3,G30,IF(Format!M8=1,G30-2,IF(Format!M8=2,G30-1,IF(Format!M8=4,G30+1,IF(Format!M8=5,G30+2)))))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2024-02-05T10:18:16Z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