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<sst xmlns="http://schemas.openxmlformats.org/spreadsheetml/2006/main" count="598" uniqueCount="598">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</sst>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14802.083333333332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1800</v>
      </c>
      <c r="D7" s="182" t="s">
        <v>428</v>
      </c>
      <c r="E7" s="183">
        <f>تسعير!X31</f>
        <v>1800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1800</v>
      </c>
      <c r="L6" s="759"/>
      <c r="M6" s="94" t="s">
        <v>366</v>
      </c>
      <c r="N6" s="95">
        <f>تسجيل2!E7</f>
        <v>1800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324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1799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382.53936</v>
      </c>
      <c r="U8" s="138">
        <f>T8*S8</f>
        <v>105198.324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1765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13.2375</v>
      </c>
      <c r="U11" s="103">
        <f>CEILING(T11,0.5)</f>
        <v>13.5</v>
      </c>
      <c r="V11" s="103">
        <f>U11*S11</f>
        <v>108</v>
      </c>
      <c r="W11" s="140">
        <v>4.45627705627706</v>
      </c>
      <c r="X11" s="141">
        <f>($W$1/1000)*W11*V11</f>
        <v>127538.64935064946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359.7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3.597</v>
      </c>
      <c r="U12" s="103">
        <f ref="U12:U21" t="shared" si="0">CEILING(T12,0.25)</f>
        <v>3.75</v>
      </c>
      <c r="V12" s="103">
        <f ref="V12:V20" t="shared" si="1">G12*S12</f>
        <v>16</v>
      </c>
      <c r="W12" s="140">
        <v>1.86378737541528</v>
      </c>
      <c r="X12" s="141">
        <f>($W$1/1000)*W12*V12</f>
        <v>7902.4584717607877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353.2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5.2979999999999992</v>
      </c>
      <c r="U13" s="103">
        <f t="shared" si="0"/>
        <v>5.5</v>
      </c>
      <c r="V13" s="103">
        <f t="shared" si="1"/>
        <v>24</v>
      </c>
      <c r="W13" s="140">
        <v>1.86378737541528</v>
      </c>
      <c r="X13" s="141">
        <f ref="X13:X20" t="shared" si="7">($W$1/1000)*W13*V13</f>
        <v>11853.687707641182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359.7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361.7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0.90425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1478.564102564108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361.7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358.2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0.90425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1478.564102564108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358.2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2.6864999999999997</v>
      </c>
      <c r="U18" s="103">
        <f t="shared" si="0"/>
        <v>2.75</v>
      </c>
      <c r="V18" s="103">
        <f t="shared" si="1"/>
        <v>12</v>
      </c>
      <c r="W18" s="140">
        <v>1.3948717948718</v>
      </c>
      <c r="X18" s="141">
        <f t="shared" si="7"/>
        <v>4435.692307692324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1797.5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351.2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4.39</v>
      </c>
      <c r="U20" s="103">
        <f t="shared" si="0"/>
        <v>4.5</v>
      </c>
      <c r="V20" s="103">
        <f t="shared" si="1"/>
        <v>20</v>
      </c>
      <c r="W20" s="103">
        <v>1.65</v>
      </c>
      <c r="X20" s="141">
        <f t="shared" si="7"/>
        <v>8745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3575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214.5</v>
      </c>
      <c r="U21" s="142">
        <f t="shared" si="0"/>
        <v>214.5</v>
      </c>
      <c r="V21" s="142">
        <f>U21*S21</f>
        <v>214.5</v>
      </c>
      <c r="W21" s="142">
        <f>Sheet2!B17</f>
        <v>175</v>
      </c>
      <c r="X21" s="144">
        <f>W21*V21</f>
        <v>37537.5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24</v>
      </c>
      <c r="AB29" s="60">
        <f t="shared" si="10"/>
        <v>9000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9000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70.6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247.09999999999997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1799</v>
      </c>
      <c r="L97" s="177" t="str">
        <f>M8</f>
        <v>Χ</v>
      </c>
      <c r="M97" s="682">
        <f>N8</f>
        <v>1772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1800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1800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1800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1800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1800</v>
      </c>
      <c r="T31" s="47" t="s">
        <v>348</v>
      </c>
      <c r="U31" s="57">
        <f>INT((S31-4)/25)+1</f>
        <v>72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1800</v>
      </c>
      <c r="E2" s="1">
        <f>تسجيل2!E7</f>
        <v>1800</v>
      </c>
      <c r="F2" s="1">
        <f>تسجيل2!E7</f>
        <v>1800</v>
      </c>
      <c r="G2" s="1">
        <f>تسجيل2!E7</f>
        <v>1800</v>
      </c>
      <c r="H2" s="8">
        <f>تسجيل2!E7</f>
        <v>1800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1800</v>
      </c>
      <c r="E6" s="1">
        <f>IF(E3=0,E2,E2-E3-E4+10)</f>
        <v>1800</v>
      </c>
      <c r="F6" s="1">
        <f>IF(F3=0,F2,F2-F3-F4+10)</f>
        <v>1800</v>
      </c>
      <c r="G6" s="1">
        <f>IF(G3=0,G2,G2-G3-G4+10)</f>
        <v>1800</v>
      </c>
      <c r="H6" s="8">
        <f>IF(H3=0,H2,H2-H3-H4+10)</f>
        <v>1800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1800</v>
      </c>
      <c r="L6" s="10">
        <f>IF('Format (2)'!E8=1,تسجيل2!E7-30,IF('Format (2)'!E8=2,D7,IF('Format (2)'!E8=3,E7,IF('Format (2)'!E8=4,F7,IF('Format (2)'!E8=5,G7,IF('Format (2)'!E8=6,H7,"-----"))))))</f>
        <v>1770</v>
      </c>
    </row>
    <row r="7">
      <c r="A7" s="783"/>
      <c r="B7" s="784"/>
      <c r="C7" s="19" t="s">
        <v>278</v>
      </c>
      <c r="D7" s="6">
        <f>D6-30</f>
        <v>1770</v>
      </c>
      <c r="E7" s="6">
        <f>E6-17</f>
        <v>1783</v>
      </c>
      <c r="F7" s="6">
        <f>F6-30</f>
        <v>1770</v>
      </c>
      <c r="G7" s="6">
        <f>G6-17</f>
        <v>1783</v>
      </c>
      <c r="H7" s="9">
        <f>H6-30</f>
        <v>1770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1800</v>
      </c>
      <c r="E11" s="1">
        <f>تسجيل2!E7</f>
        <v>1800</v>
      </c>
      <c r="F11" s="1">
        <f>تسجيل2!E7</f>
        <v>1800</v>
      </c>
      <c r="G11" s="1">
        <f>تسجيل2!E7</f>
        <v>1800</v>
      </c>
      <c r="H11" s="8">
        <f>تسجيل2!E7</f>
        <v>1800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1800</v>
      </c>
      <c r="L14" s="10">
        <f>IF('Format (2)'!E8=1,تسجيل2!E7-30,IF('Format (2)'!E8=2,D16,IF('Format (2)'!E8=3,E16,IF('Format (2)'!E8=4,F16,IF('Format (2)'!E8=5,G16,IF('Format (2)'!E8=6,H16))))))</f>
        <v>1770</v>
      </c>
    </row>
    <row r="15">
      <c r="A15" s="787"/>
      <c r="B15" s="788"/>
      <c r="C15" s="10" t="s">
        <v>276</v>
      </c>
      <c r="D15" s="1">
        <f>IF(D12=0,D11,D11-D12-D13+11)</f>
        <v>1800</v>
      </c>
      <c r="E15" s="1">
        <f>IF(E12=0,E11,E11-E12-E13+11)</f>
        <v>1800</v>
      </c>
      <c r="F15" s="1">
        <f>IF(F12=0,F11,F11-F12-F13+11)</f>
        <v>1800</v>
      </c>
      <c r="G15" s="1">
        <f>IF(G12=0,G11,G11-G12-G13+11)</f>
        <v>1800</v>
      </c>
      <c r="H15" s="8">
        <f>IF(H12=0,H11,H11-H12-H13+11)</f>
        <v>1800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1770</v>
      </c>
      <c r="E16" s="6">
        <f>E15-17</f>
        <v>1783</v>
      </c>
      <c r="F16" s="6">
        <f>F15-30</f>
        <v>1770</v>
      </c>
      <c r="G16" s="6">
        <f>G15-17</f>
        <v>1783</v>
      </c>
      <c r="H16" s="9">
        <f>H15-30</f>
        <v>1770</v>
      </c>
      <c r="Q16" s="10">
        <f>IF('Format (2)'!A7=1,K6,IF('Format (2)'!A7=3,K6,IF('Format (2)'!A7=4,K23,IF('Format (2)'!A7=2,K23,IF('Format (2)'!A7=5,K14,"------")))))</f>
        <v>1800</v>
      </c>
      <c r="R16" s="10">
        <f>IF('Format (2)'!A7=1,L6,IF('Format (2)'!A7=3,L6,IF('Format (2)'!A7=4,L23,IF('Format (2)'!A7=2,L23+2,IF('Format (2)'!A7=5,L14,"------")))))</f>
        <v>1772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1800</v>
      </c>
      <c r="E20" s="1">
        <f>تسجيل2!E7</f>
        <v>1800</v>
      </c>
      <c r="F20" s="1">
        <f>تسجيل2!E7</f>
        <v>1800</v>
      </c>
      <c r="G20" s="1">
        <f>تسجيل2!E7</f>
        <v>1800</v>
      </c>
      <c r="H20" s="8">
        <f>تسجيل2!E7</f>
        <v>1800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1800</v>
      </c>
      <c r="L23" s="10">
        <f>IF('Format (2)'!E8=1,تسجيل2!E7-30,IF('Format (2)'!E8=2,D25,IF('Format (2)'!E8=3,E25,IF('Format (2)'!E8=4,F25,IF('Format (2)'!E8=5,G25,IF('Format (2)'!E8=6,H25))))))</f>
        <v>1770</v>
      </c>
    </row>
    <row r="24">
      <c r="A24" s="793"/>
      <c r="B24" s="794"/>
      <c r="C24" s="10" t="s">
        <v>276</v>
      </c>
      <c r="D24" s="1">
        <f>IF(D21=0,D20,D20-D21-D22+11)</f>
        <v>1800</v>
      </c>
      <c r="E24" s="1">
        <f>IF(E21=0,E20,E20-E21-E22+11)</f>
        <v>1800</v>
      </c>
      <c r="F24" s="1">
        <f>IF(F21=0,F20,F20-F21-F22+11)</f>
        <v>1800</v>
      </c>
      <c r="G24" s="1">
        <f>IF(G21=0,G20,G20-G21-G22+11)</f>
        <v>1800</v>
      </c>
      <c r="H24" s="8">
        <f>IF(H21=0,H20,H20-H21-H22+11)</f>
        <v>1800</v>
      </c>
    </row>
    <row r="25">
      <c r="A25" s="795"/>
      <c r="B25" s="796"/>
      <c r="C25" s="19" t="s">
        <v>278</v>
      </c>
      <c r="D25" s="6">
        <f>D24-30</f>
        <v>1770</v>
      </c>
      <c r="E25" s="6">
        <f>E24-13</f>
        <v>1787</v>
      </c>
      <c r="F25" s="6">
        <f>F24-30</f>
        <v>1770</v>
      </c>
      <c r="G25" s="6">
        <f>G24-13</f>
        <v>1787</v>
      </c>
      <c r="H25" s="9">
        <f>H24-30</f>
        <v>1770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1800</v>
      </c>
      <c r="J4" s="15">
        <v>4</v>
      </c>
      <c r="K4" s="15">
        <v>2</v>
      </c>
    </row>
    <row r="5">
      <c r="A5" s="1" t="s">
        <v>257</v>
      </c>
      <c r="B5" s="1">
        <f>تسجيل2!E7</f>
        <v>1800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1768</v>
      </c>
      <c r="F8" s="1">
        <f>IF('Format (2)'!A7=1,C6,IF('Format (2)'!A7=2,C7,IF('Format (2)'!A7=3,C8,IF('Format (2)'!A7=4,C9,IF('Format (2)'!A7=5,C10)))))</f>
        <v>1765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1800</v>
      </c>
      <c r="F16" s="1">
        <f>IF('Format (2)'!A7=1,C14,IF('Format (2)'!A7=2,C15,IF('Format (2)'!A7=3,C16,IF('Format (2)'!A7=4,C17,IF('Format (2)'!A7=5,C118)))))</f>
        <v>1800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38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1800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CA1669F-3A5E-42DB-B454-4CCDD3A3DEB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1397053-CAA2-4C66-B164-CDBBD5443B3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FE9A67FC-4286-4438-A0D9-CBCD5D2330BD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6B6E40C0-ECDD-48F5-B9F4-A5F968D74079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80D2D27C-12FC-49E9-9E18-C5E3F52C559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FEF8C515-C747-4EFD-81E8-32986F8FD43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CB929E32-E2B1-4A0F-84C4-638762B04BB5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3DCEB05B-A4BF-434D-A491-094450F4F8B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610E0EA-5AFD-4276-B7C0-B20A8B8AF022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3F0A9297-81EB-4463-BA2C-3C65B67309A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868C0EC7-BF30-4790-8A59-5D6D074A7B59}">
          <x14:formula1>
            <xm:f>wavy2!$A$19:$A$20</xm:f>
          </x14:formula1>
          <xm:sqref>BE9</xm:sqref>
        </x14:dataValidation>
        <x14:dataValidation type="list" allowBlank="1" showInputMessage="1" showErrorMessage="1" xr:uid="{FF9B0516-67F1-48B4-9A09-8DAB93A99F03}">
          <x14:formula1>
            <xm:f>wavy1!$A$19:$A$20</xm:f>
          </x14:formula1>
          <xm:sqref>AT9</xm:sqref>
        </x14:dataValidation>
        <x14:dataValidation type="list" allowBlank="1" showInputMessage="1" showErrorMessage="1" xr:uid="{1F917D34-F6FC-46CB-8E21-31BD8D384680}">
          <x14:formula1>
            <xm:f>Sheet2!$B$5:$B$7</xm:f>
          </x14:formula1>
          <xm:sqref>T25 T46 T64</xm:sqref>
        </x14:dataValidation>
        <x14:dataValidation type="list" allowBlank="1" showInputMessage="1" showErrorMessage="1" xr:uid="{E9D64020-8433-46E3-9CF5-E7630C8AF4FB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249EA4B-4182-4242-8B42-D5AAEC42D6C9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D6CCB0C4-E563-4A07-974E-4CFCFDA54F7B}">
          <x14:formula1>
            <xm:f>Sheet2!$C$5:$C$6</xm:f>
          </x14:formula1>
          <xm:sqref>T26</xm:sqref>
        </x14:dataValidation>
        <x14:dataValidation type="list" allowBlank="1" showInputMessage="1" showErrorMessage="1" xr:uid="{AE4CBAEC-9EE7-4A4E-908B-D894966B6996}">
          <x14:formula1>
            <xm:f>Sheet2!$A$5</xm:f>
          </x14:formula1>
          <xm:sqref>U31</xm:sqref>
        </x14:dataValidation>
        <x14:dataValidation type="list" allowBlank="1" showInputMessage="1" showErrorMessage="1" xr:uid="{457D554D-9362-484E-A245-3F45581F6AA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1F806CEA-7F10-44C1-B514-7F16DDE48D1F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D730DE-C74F-41CD-A39E-E561A9D14B23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EDB17ECA-7D44-4CC4-98BD-8CEC720E514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6160B93-291F-4389-9E35-429CAFA84719}">
          <x14:formula1>
            <xm:f>Sheet2!$D$5:$D$6</xm:f>
          </x14:formula1>
          <xm:sqref>T32 T53 T71</xm:sqref>
        </x14:dataValidation>
        <x14:dataValidation type="list" allowBlank="1" showInputMessage="1" showErrorMessage="1" xr:uid="{85759D69-6D42-4D7E-A2CD-CEE26EC0D7E4}">
          <x14:formula1>
            <xm:f>Sheet2!$A$6</xm:f>
          </x14:formula1>
          <xm:sqref>AC36</xm:sqref>
        </x14:dataValidation>
        <x14:dataValidation type="list" allowBlank="1" showInputMessage="1" showErrorMessage="1" xr:uid="{7814506F-497D-4AFA-A068-B6B8067CE4C9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45563.616084386573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EFA459C-0EC0-440D-9039-1160D440494A}">
      <formula1>$N$2:$N$20</formula1>
    </dataValidation>
    <dataValidation type="list" allowBlank="1" showInputMessage="1" showErrorMessage="1" sqref="G63:G75" xr:uid="{93EF11DA-8975-4942-A1AE-866690CE79D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45563.616084409725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4390</v>
      </c>
      <c r="I81" s="560"/>
      <c r="J81" s="564"/>
      <c r="K81" s="565">
        <f>SUBTOTAL(109,Table161229[اجمالي])</f>
        <v>9650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67FBC9F7-DFA8-4B72-95B5-1569235341FD}">
      <formula1>$U$4:$U$5</formula1>
    </dataValidation>
    <dataValidation type="list" allowBlank="1" showInputMessage="1" showErrorMessage="1" sqref="F72:F80" xr:uid="{300FBA6E-CC28-44BC-A502-E481A30F5518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45563.616084456022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B57CEA14-89D4-4D22-A30F-81E59E53E80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45563.616084479167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A2F42A88-066D-4841-A732-0E8D71B01AB1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182C2728-0917-44C4-9752-2F51BF854BC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45563.616084513887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45563.616084513887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45563.616084675923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45563.616084675923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4ACA42F4-0097-4B02-80C1-03F5F1B3BFC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