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comments+xml" PartName="/xl/comments1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comments+xml" PartName="/xl/comments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spreadsheetml.table+xml" PartName="/xl/tables/table115.xml"/>
  <Override ContentType="application/vnd.openxmlformats-officedocument.spreadsheetml.table+xml" PartName="/xl/tables/table116.xml"/>
  <Override ContentType="application/vnd.openxmlformats-officedocument.spreadsheetml.table+xml" PartName="/xl/tables/table117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openxmlformats-officedocument.spreadsheetml.table+xml" PartName="/xl/tables/table118.xml"/>
  <Override ContentType="application/vnd.openxmlformats-officedocument.spreadsheetml.table+xml" PartName="/xl/tables/table119.xml"/>
  <Override ContentType="application/vnd.openxmlformats-officedocument.spreadsheetml.table+xml" PartName="/xl/tables/table120.xml"/>
  <Override ContentType="application/vnd.openxmlformats-officedocument.spreadsheetml.table+xml" PartName="/xl/tables/table121.xml"/>
  <Override ContentType="application/vnd.openxmlformats-officedocument.spreadsheetml.table+xml" PartName="/xl/tables/table122.xml"/>
  <Override ContentType="application/vnd.openxmlformats-officedocument.spreadsheetml.table+xml" PartName="/xl/tables/table123.xml"/>
  <Override ContentType="application/vnd.openxmlformats-officedocument.spreadsheetml.table+xml" PartName="/xl/tables/table124.xml"/>
  <Override ContentType="application/vnd.openxmlformats-officedocument.spreadsheetml.table+xml" PartName="/xl/tables/table125.xml"/>
  <Override ContentType="application/vnd.openxmlformats-officedocument.spreadsheetml.table+xml" PartName="/xl/tables/table126.xml"/>
  <Override ContentType="application/vnd.openxmlformats-officedocument.spreadsheetml.table+xml" PartName="/xl/tables/table127.xml"/>
  <Override ContentType="application/vnd.openxmlformats-officedocument.spreadsheetml.table+xml" PartName="/xl/tables/table128.xml"/>
  <Override ContentType="application/vnd.openxmlformats-officedocument.spreadsheetml.table+xml" PartName="/xl/tables/table129.xml"/>
  <Override ContentType="application/vnd.openxmlformats-officedocument.spreadsheetml.table+xml" PartName="/xl/tables/table130.xml"/>
  <Override ContentType="application/vnd.openxmlformats-officedocument.drawing+xml" PartName="/xl/drawings/drawing5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gaz\Downloads\"/>
    </mc:Choice>
  </mc:AlternateContent>
  <xr:revisionPtr revIDLastSave="0" documentId="13_ncr:1_{49CF5759-E23E-48B4-A019-5F7B79AE8336}" xr6:coauthVersionLast="47" xr6:coauthVersionMax="47" xr10:uidLastSave="{00000000-0000-0000-0000-000000000000}"/>
  <bookViews>
    <workbookView xWindow="384" yWindow="0" windowWidth="11736" windowHeight="12360" tabRatio="934" firstSheet="1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state="hidden" r:id="rId11"/>
    <sheet name="PERG. CS." sheetId="28" r:id="rId12"/>
    <sheet name="تسجيل2" sheetId="10" state="hidden" r:id="rId13"/>
    <sheet name="Cutting Ro-2" sheetId="11" state="hidden" r:id="rId14"/>
    <sheet name="Format (2)" sheetId="12" state="hidden" r:id="rId15"/>
    <sheet name="Format Οδηγων (2)" sheetId="13" state="hidden" r:id="rId16"/>
    <sheet name="Format Φωτισμου (2)" sheetId="14" state="hidden" r:id="rId17"/>
    <sheet name="Format διαστασης οδηγου (2)" sheetId="15" state="hidden" r:id="rId18"/>
    <sheet name="Format" sheetId="6" state="hidden" r:id="rId19"/>
    <sheet name="Format Οδηγων" sheetId="7" state="hidden" r:id="rId20"/>
    <sheet name="Format Φωτισμου" sheetId="8" state="hidden" r:id="rId21"/>
    <sheet name="Format διαστασης οδηγου" sheetId="9" state="hidden" r:id="rId22"/>
  </sheets>
  <externalReferences>
    <externalReference r:id="rId23"/>
    <externalReference r:id="rId24"/>
    <externalReference r:id="rId25"/>
    <externalReference r:id="rId26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3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<sst xmlns="http://schemas.openxmlformats.org/spreadsheetml/2006/main" count="795" uniqueCount="795">
  <si>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</si>
  <si>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</si>
  <si>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</si>
  <si>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</si>
  <si>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</si>
  <si>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</si>
  <si>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</si>
  <si>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</si>
  <si>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</si>
  <si>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</si>
  <si>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</si>
  <si>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</si>
  <si>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</si>
  <si>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</si>
  <si>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</si>
  <si>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</si>
  <si>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</si>
  <si>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</si>
  <si>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</si>
  <si>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</si>
  <si>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</si>
  <si>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</si>
  <si>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</si>
  <si>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</si>
  <si>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</si>
  <si>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</si>
  <si>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</si>
  <si>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</si>
  <si>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</si>
  <si>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</si>
  <si>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</si>
  <si>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</si>
  <si>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</si>
  <si>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</si>
  <si>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</si>
  <si>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</si>
  <si>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</si>
  <si>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</si>
  <si>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</si>
  <si>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</si>
  <si>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</si>
  <si>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</si>
  <si>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</si>
  <si>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</si>
  <si>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</si>
  <si>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</si>
  <si>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</si>
  <si>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</si>
  <si>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</si>
  <si>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</si>
  <si>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</si>
  <si>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</si>
  <si>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</si>
  <si>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</si>
  <si>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</si>
  <si>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</si>
  <si>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</si>
  <si>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</si>
  <si>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</si>
  <si>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</si>
  <si>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</si>
  <si>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</si>
  <si>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</si>
  <si>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</si>
  <si>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</si>
  <si>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</si>
  <si>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</si>
  <si>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</si>
  <si>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</si>
  <si>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</si>
  <si>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</si>
  <si>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</si>
  <si>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</si>
  <si>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</si>
  <si>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</si>
  <si>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</si>
  <si>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</si>
  <si>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</si>
  <si>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</si>
  <si>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</si>
  <si>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</si>
  <si>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</si>
  <si>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</si>
  <si>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</si>
  <si>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</si>
  <si>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</si>
  <si>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</si>
  <si>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</si>
  <si>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</si>
  <si>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</si>
  <si>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</si>
  <si>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</si>
  <si>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</si>
  <si>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</si>
  <si>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</si>
  <si>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</si>
  <si>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</si>
  <si>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</si>
  <si>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</si>
  <si>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</si>
  <si>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</si>
  <si>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</si>
  <si>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</si>
  <si>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</si>
  <si>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</si>
  <si>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</si>
  <si>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</si>
  <si>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</si>
  <si>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</si>
  <si>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</si>
  <si>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</si>
  <si>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</si>
  <si>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</si>
  <si>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</si>
  <si>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</si>
  <si>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</si>
  <si>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</si>
  <si>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</si>
  <si>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</si>
  <si>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</si>
  <si>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</si>
  <si>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</si>
  <si>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</si>
  <si>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</si>
  <si>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</si>
  <si>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</si>
  <si>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</si>
  <si>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</si>
  <si>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</si>
  <si>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</si>
  <si>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</si>
  <si>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</si>
  <si>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</si>
  <si>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</si>
  <si>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</si>
  <si>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</si>
  <si>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</si>
  <si>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</si>
  <si>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</si>
  <si>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</si>
  <si>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</si>
  <si>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</si>
  <si>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</si>
  <si>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</si>
  <si>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</si>
  <si>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</si>
  <si>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</si>
  <si>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</si>
  <si>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</si>
  <si>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</si>
  <si>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</si>
  <si>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</si>
  <si>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</si>
  <si>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</si>
  <si>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</si>
  <si>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</si>
  <si>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</si>
  <si>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</si>
  <si>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</si>
  <si>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</si>
  <si>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</si>
  <si>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</si>
  <si>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</si>
  <si>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</si>
  <si>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</si>
  <si>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</si>
  <si>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</si>
  <si>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</si>
  <si>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</si>
  <si>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</si>
  <si>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</si>
  <si>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</si>
  <si>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</si>
  <si>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</si>
  <si>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</si>
  <si>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</si>
  <si>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</si>
  <si>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</si>
  <si>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</si>
  <si>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</si>
  <si>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</si>
  <si>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</si>
  <si>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</si>
  <si>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</si>
  <si>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</si>
  <si>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</si>
  <si>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</si>
  <si>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</si>
  <si>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</si>
  <si>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</si>
  <si>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</si>
  <si>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</si>
  <si>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</si>
  <si>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</si>
  <si>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</si>
  <si>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</si>
  <si>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</si>
  <si>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</si>
  <si>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</si>
  <si>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</si>
  <si>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</si>
  <si>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</si>
  <si>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</si>
  <si>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</si>
  <si>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</si>
  <si>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</si>
  <si>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</si>
  <si>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</si>
  <si>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</si>
  <si>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</si>
  <si>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</si>
  <si>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</si>
  <si>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</si>
  <si>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</si>
  <si>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</si>
  <si>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</si>
  <si>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تركي</t>
  </si>
  <si>
    <t>الهوك</t>
  </si>
  <si>
    <t>سعر الدهان</t>
  </si>
  <si>
    <t>3.5*3.5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</si>
  <si>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</si>
  <si>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</si>
  <si>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</si>
  <si>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</si>
  <si>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</si>
  <si>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</si>
  <si>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</si>
  <si>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</si>
  <si>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</si>
  <si>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</si>
  <si>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</si>
  <si>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</si>
  <si>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</si>
  <si>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</si>
  <si>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</si>
  <si>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</si>
  <si>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</si>
  <si>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</si>
  <si>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</si>
  <si>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</si>
  <si>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</si>
  <si>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</si>
  <si>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</si>
  <si>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</si>
  <si>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</si>
  <si>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</si>
  <si>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</si>
  <si>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</si>
  <si>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</si>
  <si>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</si>
  <si>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</si>
  <si>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</si>
  <si>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</si>
  <si>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</si>
  <si>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</si>
  <si>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</si>
  <si>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</si>
  <si>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</si>
  <si>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</si>
  <si>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</si>
  <si>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</si>
  <si>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</si>
  <si>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</si>
  <si>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</si>
  <si>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</si>
  <si>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</si>
  <si>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</si>
  <si>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</si>
  <si>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</si>
  <si>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سنجل باللوجو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</si>
  <si>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</si>
  <si>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</si>
  <si>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</si>
  <si>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</si>
  <si>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</si>
  <si>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</si>
  <si>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</si>
  <si>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</si>
  <si>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</si>
  <si>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</si>
  <si>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</si>
  <si>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</si>
  <si>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</si>
  <si>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</si>
  <si>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</si>
  <si>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</si>
  <si>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</si>
  <si>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</si>
  <si>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</si>
  <si>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</si>
  <si>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</si>
  <si>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</si>
  <si>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</si>
  <si>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</si>
  <si>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</si>
  <si>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</si>
  <si>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</si>
  <si>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</si>
  <si>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</si>
  <si>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</si>
  <si>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</si>
  <si>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</si>
  <si>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</si>
  <si>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</si>
  <si>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</si>
  <si>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</si>
  <si>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</si>
  <si>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</si>
  <si>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</si>
  <si>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</si>
  <si>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</si>
  <si>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</si>
  <si>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</si>
  <si>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</si>
  <si>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</si>
  <si>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</si>
  <si>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</si>
  <si>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</si>
  <si>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</si>
  <si>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</si>
  <si>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</si>
  <si>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</si>
  <si>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</si>
  <si>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</si>
  <si>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</si>
  <si>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</si>
  <si>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</si>
  <si>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</si>
  <si>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</si>
  <si>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</si>
  <si>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</si>
  <si>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</si>
  <si>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</si>
  <si>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</si>
  <si>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</si>
  <si>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</si>
  <si>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</si>
  <si>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</si>
  <si>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</si>
  <si>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</si>
  <si>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</si>
  <si>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</si>
  <si>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</si>
  <si>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</si>
  <si>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</si>
  <si>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</si>
  <si>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</si>
  <si>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</si>
  <si>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</si>
  <si>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</si>
  <si>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</si>
  <si>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</si>
  <si>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</si>
  <si>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</si>
  <si>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</si>
  <si>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</si>
  <si>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</si>
  <si>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</si>
  <si>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</si>
  <si>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</si>
  <si>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</si>
  <si>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</si>
  <si>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</si>
  <si>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</si>
  <si>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</si>
  <si>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</si>
  <si>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</si>
  <si>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</si>
  <si>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</si>
  <si>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</si>
  <si>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</si>
  <si>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</si>
  <si>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</si>
  <si>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</si>
  <si>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</si>
  <si>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</si>
  <si>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</si>
  <si>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</si>
  <si>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</si>
  <si>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</si>
  <si>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</si>
  <si>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</si>
  <si>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</si>
  <si>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</si>
  <si>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</si>
  <si>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</si>
  <si>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</si>
  <si>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</si>
  <si>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</si>
  <si>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</si>
  <si>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</si>
  <si>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</si>
  <si>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</si>
  <si>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</si>
  <si>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</si>
  <si>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</si>
  <si>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</si>
  <si>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</si>
  <si>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</si>
  <si>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</si>
  <si>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</si>
  <si>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</si>
  <si>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</si>
  <si>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</si>
  <si>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</si>
  <si>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</si>
  <si>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</si>
  <si>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</si>
  <si>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</si>
  <si>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</si>
  <si>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</si>
  <si>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</si>
  <si>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</si>
  <si>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</si>
  <si>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</si>
  <si>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</si>
  <si>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</si>
  <si>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</si>
  <si>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</si>
  <si>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</si>
  <si>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</si>
  <si>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</si>
  <si>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</si>
  <si>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</si>
  <si>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</si>
  <si>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</si>
  <si>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</si>
  <si>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</si>
  <si>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</si>
  <si>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</si>
  <si>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</si>
  <si>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</si>
  <si>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</si>
  <si>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</si>
  <si>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</si>
  <si>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</si>
  <si>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</si>
  <si>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</si>
  <si>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</si>
  <si>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</si>
  <si>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>PERSA</t>
  </si>
  <si>
    <t>المنتج</t>
  </si>
  <si>
    <t>لون الشاسية</t>
  </si>
  <si>
    <t>لون اللوفرز</t>
  </si>
  <si>
    <t>سعر البيع للوحدة</t>
  </si>
  <si>
    <t>سعر خام الالومنيوم</t>
  </si>
  <si>
    <t>FLUX</t>
  </si>
  <si>
    <t>FLOW</t>
  </si>
  <si>
    <t>CHESS</t>
  </si>
  <si>
    <t>WING</t>
  </si>
  <si>
    <t>الخامة</t>
  </si>
  <si>
    <t>العدد</t>
  </si>
  <si>
    <t>الطول</t>
  </si>
  <si>
    <t>الوزن المتري</t>
  </si>
  <si>
    <t>القيمة</t>
  </si>
  <si>
    <t>عدد الشبابيك العرضية =</t>
  </si>
  <si>
    <t>LINEA</t>
  </si>
  <si>
    <t>علب 15*15 سمك 3مم</t>
  </si>
  <si>
    <t>عدد الشبابيك الطولية =</t>
  </si>
  <si>
    <t>EYE LINEA</t>
  </si>
  <si>
    <t>كونكتور قاعدة شامل المسامير</t>
  </si>
  <si>
    <t>اجمالي الشبابيك =</t>
  </si>
  <si>
    <t>MESH</t>
  </si>
  <si>
    <t>كونكتور علوي شامل المسامير</t>
  </si>
  <si>
    <t>مقاس الشباك =</t>
  </si>
  <si>
    <t>سيستم البيرسا</t>
  </si>
  <si>
    <t>عدد اللوفرز في كل شباك</t>
  </si>
  <si>
    <t>عمالة و متغيرات</t>
  </si>
  <si>
    <t>RTN - 1</t>
  </si>
  <si>
    <t>بروفيل عرض ( مرايا البرجولة )</t>
  </si>
  <si>
    <t>RTN - 2 عوارض</t>
  </si>
  <si>
    <t>بروفيل امتداد ( مرايا البرجولة )</t>
  </si>
  <si>
    <t>RTN - 2 للطول</t>
  </si>
  <si>
    <t>RTN - 3</t>
  </si>
  <si>
    <t>علب 2*10 سمك 1مم</t>
  </si>
  <si>
    <t>كونكتور ثلاثي شامل المسامير</t>
  </si>
  <si>
    <t>زوايا تثبيت استانلس</t>
  </si>
  <si>
    <t>طبات 15*15</t>
  </si>
  <si>
    <t>ليد و كفر</t>
  </si>
  <si>
    <t>مستلزمات كهرباء</t>
  </si>
  <si>
    <t xml:space="preserve">800 ترانس
625 علبة و سلك</t>
  </si>
  <si>
    <t>مسامير و مستلزمات</t>
  </si>
  <si>
    <t>سيستم اللوفرز المتحركة</t>
  </si>
  <si>
    <t>كاوتش 3 خط</t>
  </si>
  <si>
    <t>علب 10*15 سمك 2.5 مم</t>
  </si>
  <si>
    <t>علب 2*10 سمك 1.2مم</t>
  </si>
  <si>
    <t>كونكتور T شامل المسامير</t>
  </si>
  <si>
    <t>CNC</t>
  </si>
  <si>
    <t>طبات 10*15</t>
  </si>
  <si>
    <t>علب 15 * 15 سمك 3مم</t>
  </si>
  <si>
    <t>سيستم الرويال فلات</t>
  </si>
  <si>
    <t>كونكتور ارضي بالمسامير</t>
  </si>
  <si>
    <t>عدد اللوفرز فوق</t>
  </si>
  <si>
    <t>كونكتور داخلي ثلاثي بالمسامير</t>
  </si>
  <si>
    <t>عدد اللوفرز تحت</t>
  </si>
  <si>
    <r xmlns="http://schemas.openxmlformats.org/spreadsheetml/2006/main">
      <t>m</t>
    </r>
    <r xmlns="http://schemas.openxmlformats.org/spreadsheetml/2006/main">
      <rPr>
        <b/>
        <vertAlign val="superscript"/>
        <sz val="14"/>
        <rFont val="Arial Greek"/>
      </rPr>
      <t>2</t>
    </r>
  </si>
  <si>
    <t>عميل</t>
  </si>
  <si>
    <t>قطاع RTN - 1</t>
  </si>
  <si>
    <t>اجمالي السعر</t>
  </si>
  <si>
    <t>قطاع RTN - 3</t>
  </si>
  <si>
    <t>اطول الشبكات المتاحة</t>
  </si>
  <si>
    <t>1</t>
  </si>
  <si>
    <t>2</t>
  </si>
  <si>
    <t>3</t>
  </si>
  <si>
    <t>4</t>
  </si>
  <si>
    <t>5</t>
  </si>
  <si>
    <t>6</t>
  </si>
  <si>
    <t>اختيار</t>
  </si>
  <si>
    <t>التقطيع</t>
  </si>
  <si>
    <t>بالهدر</t>
  </si>
  <si>
    <t xml:space="preserve"> عين 15 سم</t>
  </si>
  <si>
    <t>الاكسسوار</t>
  </si>
  <si>
    <t xml:space="preserve"> علب 2*10 سمك 1مم</t>
  </si>
  <si>
    <t xml:space="preserve">سعر البي في سي </t>
  </si>
  <si>
    <t>عدد عروض القماش</t>
  </si>
  <si>
    <t>عدد الشرايح</t>
  </si>
  <si>
    <t>علب 5*10 سمك 2مم</t>
  </si>
  <si>
    <t>HDPE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</si>
  <si>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</si>
  <si>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</si>
  <si>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</si>
  <si>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</si>
  <si>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</si>
  <si>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</si>
  <si>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</si>
  <si>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</si>
  <si>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</si>
  <si>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</si>
  <si>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</si>
  <si>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</si>
  <si>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</si>
  <si>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</si>
  <si>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</si>
  <si>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</si>
  <si>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</si>
  <si>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</si>
  <si>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</si>
  <si>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</si>
  <si>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</si>
  <si>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</si>
  <si>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</si>
  <si>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</si>
  <si>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</si>
  <si>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</si>
  <si>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</si>
  <si>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</si>
  <si>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</si>
  <si>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</si>
  <si>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</si>
  <si>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</si>
  <si>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</si>
  <si>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</si>
  <si>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</si>
  <si>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</si>
  <si>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</si>
  <si>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</si>
  <si>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Πάνελς για Persa</t>
  </si>
  <si>
    <t>Αξονας</t>
  </si>
  <si>
    <t>Star</t>
  </si>
  <si>
    <t>Προβολη</t>
  </si>
  <si>
    <t>Προβολή</t>
  </si>
  <si>
    <t>Πάνελς</t>
  </si>
  <si>
    <t>Αντιβαρα Για περγκολες Star - Magna</t>
  </si>
  <si>
    <t>Αντίβαρα για Πέργκολα Top Star</t>
  </si>
  <si>
    <t>Αντίβαρα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</si>
  <si>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</si>
  <si>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</si>
  <si>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</si>
  <si>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</si>
  <si>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</si>
  <si>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</si>
  <si>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</si>
  <si>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</si>
  <si>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</si>
  <si>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</si>
  <si>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</si>
  <si>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</si>
  <si>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</si>
  <si>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</si>
  <si>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</si>
  <si>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</si>
  <si>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</si>
  <si>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</si>
  <si>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</si>
  <si>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</si>
  <si>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</si>
  <si>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</si>
  <si>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</si>
  <si>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</si>
  <si>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</si>
  <si>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</si>
  <si>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</si>
  <si>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</si>
  <si>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</si>
  <si>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</si>
  <si>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</si>
  <si>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</si>
  <si>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</si>
  <si>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</si>
  <si>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</si>
  <si>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</si>
  <si>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</si>
  <si>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</si>
  <si>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</si>
  <si>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</si>
  <si>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</si>
  <si>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</si>
  <si>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Royal pergola 2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</si>
  <si>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</si>
  <si>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</si>
  <si>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</si>
  <si>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</si>
  <si>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</si>
  <si>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ايبوكسي و دوكو</t>
  </si>
  <si>
    <t>بالتات</t>
  </si>
  <si>
    <t>رويال فلات</t>
  </si>
  <si>
    <t>جلفنة و جوتن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</si>
  <si>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</si>
  <si>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</si>
  <si>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</si>
  <si>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</si>
  <si>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</si>
  <si>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</si>
  <si>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</si>
  <si>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</si>
  <si>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</si>
  <si>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</si>
  <si>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</si>
  <si>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</si>
  <si>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</si>
  <si>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تركي للشماسي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</si>
  <si>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</si>
  <si>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</si>
  <si>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</si>
  <si>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</si>
  <si>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</si>
  <si>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</si>
  <si>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</si>
  <si>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</si>
  <si>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</si>
  <si>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</si>
  <si>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</si>
  <si>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</si>
  <si>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</si>
  <si>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قماش مصري للشماسي</t>
  </si>
  <si>
    <t>كونكتور زاوية شامل المسامير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</si>
  <si>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</si>
  <si>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</si>
  <si>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</si>
  <si>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</si>
  <si>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</si>
  <si>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</si>
  <si>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</si>
  <si>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</si>
  <si>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</si>
  <si>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</si>
  <si>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</si>
  <si>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</si>
  <si>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</si>
  <si>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</si>
  <si>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التثبيت</t>
  </si>
  <si>
    <t>العرض cm</t>
  </si>
  <si>
    <t>NEW ITEM</t>
  </si>
  <si>
    <t>.</t>
  </si>
  <si>
    <t>الامتداد cm</t>
  </si>
  <si>
    <t>ELINA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</si>
  <si>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</si>
  <si>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</si>
  <si>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</si>
  <si>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</si>
  <si>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نوع الشمسية</t>
  </si>
  <si>
    <t>نوع القاعدة</t>
  </si>
  <si>
    <t>متحركة</t>
  </si>
  <si>
    <t>الارتفاع الخلفي</t>
  </si>
  <si>
    <t>اقل من 3 م</t>
  </si>
  <si>
    <t>ROYAL TELESQUP UMBRELLA</t>
  </si>
  <si>
    <t>NOTE 1</t>
  </si>
  <si>
    <t>المقاس المتاح هو</t>
  </si>
  <si>
    <t>NOTE 2</t>
  </si>
  <si>
    <t xml:space="preserve"> الفرنتونة المتاحة هي</t>
  </si>
  <si>
    <t>NOTE 3</t>
  </si>
  <si>
    <t>القاعدة المتاحة هي</t>
  </si>
  <si>
    <t>NOTE 4</t>
  </si>
  <si>
    <t>اكثر من 3 م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</si>
  <si>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</si>
  <si>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</si>
  <si>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</si>
  <si>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</si>
  <si>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Aluminum pergolas</t>
  </si>
  <si>
    <t xml:space="preserve">لون  السيستم / اللوفرز</t>
  </si>
  <si>
    <t>عدد الباكيات</t>
  </si>
  <si>
    <t>NOTE</t>
  </si>
  <si>
    <t>الامتداد يجب ان يكون اكبر من او مساوي للعرض</t>
  </si>
  <si>
    <t>لون الشاسية يشمل الاعمدة و الاطار الخارجي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</si>
  <si>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</si>
  <si>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الاسعار غير شاملة ضريبة القيمة المضافة</t>
  </si>
  <si>
    <t>Cantlever</t>
  </si>
  <si>
    <t>cANTLEVER</t>
  </si>
  <si>
    <t>MOTORIZED LLUVERS</t>
  </si>
  <si>
    <t>ORIANA</t>
  </si>
  <si>
    <t>بقماش</t>
  </si>
  <si>
    <t>بدهان</t>
  </si>
  <si>
    <t>بالقاعدة</t>
  </si>
  <si>
    <t>بالقماش</t>
  </si>
  <si>
    <t>الشركة المنتجة</t>
  </si>
  <si>
    <t>التكلفة</t>
  </si>
  <si>
    <t>TN02</t>
  </si>
  <si>
    <t>يونيتال</t>
  </si>
  <si>
    <t>عادي</t>
  </si>
  <si>
    <t>الصنف</t>
  </si>
  <si>
    <t>متطلبات انتاج الشمسيه 2.5</t>
  </si>
  <si>
    <t>متطلبات انتاج الشمسيه 3</t>
  </si>
  <si>
    <t>حهة التصنيع</t>
  </si>
  <si>
    <t>2.5</t>
  </si>
  <si>
    <t>ROOL-101</t>
  </si>
  <si>
    <t>دريمز</t>
  </si>
  <si>
    <t>محبب</t>
  </si>
  <si>
    <t>قطاع ريش شمسيه كانتليفر طول 3.7متر RTN05</t>
  </si>
  <si>
    <t>كايرو ميتال</t>
  </si>
  <si>
    <t>ماسورة قطر 48 سمك 3مم</t>
  </si>
  <si>
    <t>اليومصر</t>
  </si>
  <si>
    <t>قطاع ريش شمسيه كانتليفر طول 6.8متر RTN05</t>
  </si>
  <si>
    <t>RTN 6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</si>
  <si>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</si>
  <si>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</si>
  <si>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</si>
  <si>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</si>
  <si>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</si>
  <si>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</si>
  <si>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</si>
  <si>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</si>
  <si>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</si>
  <si>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</si>
  <si>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</si>
  <si>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</si>
  <si>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</si>
  <si>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</si>
  <si>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</si>
  <si>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</si>
  <si>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</si>
  <si>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خرشوفه حديد مغلقه للكانتليفر</t>
  </si>
  <si>
    <t xml:space="preserve"> U صغير      </t>
  </si>
  <si>
    <t>BEACH</t>
  </si>
  <si>
    <t>خرشوفه حديد مفتوحه للكانتليفر</t>
  </si>
  <si>
    <t>استانلس 4مم</t>
  </si>
  <si>
    <t xml:space="preserve">شيال </t>
  </si>
  <si>
    <t>JUMBO</t>
  </si>
  <si>
    <t>طابه لريش الشمسيه الكانتليفر</t>
  </si>
  <si>
    <t>اليابانيه</t>
  </si>
  <si>
    <t>Uكبير</t>
  </si>
  <si>
    <t>ATHENA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</si>
  <si>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</si>
  <si>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</si>
  <si>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</si>
  <si>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</si>
  <si>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</si>
  <si>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</si>
  <si>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</si>
  <si>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</si>
  <si>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</si>
  <si>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</si>
  <si>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</si>
  <si>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</si>
  <si>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</si>
  <si>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</si>
  <si>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</si>
  <si>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</si>
  <si>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طبات مسامير</t>
  </si>
  <si>
    <t>متر طولي</t>
  </si>
  <si>
    <t>بشر</t>
  </si>
  <si>
    <t>عمال</t>
  </si>
  <si>
    <t>رويال تنت</t>
  </si>
  <si>
    <t>القاعدة كاملة</t>
  </si>
  <si>
    <t>سعر بيع شمسية البحر</t>
  </si>
  <si>
    <t>سعر بيع شمسية جامبو</t>
  </si>
  <si>
    <t>قطاع ROYAL 25 بطول 6.3م</t>
  </si>
  <si>
    <t>ثابتة بالرمال</t>
  </si>
  <si>
    <t>قطاع ماسورة MX 1 بطول 5.5 م</t>
  </si>
  <si>
    <t>قطاع RTN - 5 بطول 6.8م</t>
  </si>
  <si>
    <t>قطاع ماسورة MX 1 بطول 6.25 م</t>
  </si>
  <si>
    <t>قطاع RTN - 4 بطول 3.2م</t>
  </si>
  <si>
    <t>طقم اكسسوار</t>
  </si>
  <si>
    <t xml:space="preserve">خرشوفة حديد </t>
  </si>
  <si>
    <t xml:space="preserve">قاعدة </t>
  </si>
  <si>
    <t>سنجل بدون طباعة</t>
  </si>
  <si>
    <t>حروف U للخرشوفة</t>
  </si>
  <si>
    <t>حبال الشماسي</t>
  </si>
  <si>
    <t>طباعة اللوجو</t>
  </si>
  <si>
    <t>جلب للخرشوفة</t>
  </si>
  <si>
    <t>عمالة</t>
  </si>
  <si>
    <t>بكرة كبيرة و صغيرة</t>
  </si>
  <si>
    <t>طقم ارتيلون 3 قطعة</t>
  </si>
  <si>
    <t>شداد و عصفورة و ارتيلون 20 سم</t>
  </si>
  <si>
    <t>قاعدة 70 * 70 جديدة</t>
  </si>
  <si>
    <t>قماش مصري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</si>
</sst>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5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28"/>
      <color theme="1"/>
      <name val="Andalus"/>
      <family val="1"/>
    </font>
    <font>
      <sz val="72"/>
      <color theme="0" tint="-0.049989318521683403"/>
      <name val="Calibri"/>
      <family val="2"/>
      <scheme val="minor"/>
    </font>
    <font>
      <b/>
      <sz val="24"/>
      <color theme="0" tint="-0.049989318521683403"/>
      <name val="Calibri"/>
      <family val="2"/>
      <scheme val="minor"/>
    </font>
    <font>
      <sz val="8"/>
      <color theme="1"/>
      <name val="Calibri"/>
      <family val="2"/>
      <charset val="161"/>
      <scheme val="minor"/>
    </font>
    <font>
      <b/>
      <sz val="72"/>
      <color theme="1"/>
      <name val="Calibri"/>
      <family val="2"/>
      <scheme val="minor"/>
    </font>
    <font>
      <b/>
      <sz val="72"/>
      <color theme="0" tint="-0.049989318521683403"/>
      <name val="Calibri"/>
      <family val="2"/>
      <scheme val="minor"/>
    </font>
    <font>
      <b/>
      <sz val="26"/>
      <color theme="1"/>
      <name val="Calibri"/>
      <family val="2"/>
      <charset val="161"/>
      <scheme val="minor"/>
    </font>
    <font>
      <b/>
      <sz val="16"/>
      <name val="Arial Greek"/>
    </font>
    <font>
      <sz val="22"/>
      <color theme="0" tint="-0.049989318521683403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14"/>
      <name val="Arial"/>
      <family val="2"/>
      <charset val="161"/>
    </font>
    <font>
      <sz val="14"/>
      <name val="Arial"/>
      <family val="2"/>
      <charset val="161"/>
    </font>
    <font>
      <b/>
      <sz val="14"/>
      <name val="Arial Greek"/>
    </font>
    <font>
      <b/>
      <sz val="12"/>
      <name val="Arial Greek"/>
    </font>
    <font>
      <sz val="12"/>
      <name val="Arial Greek"/>
    </font>
    <font>
      <sz val="14"/>
      <name val="Arial Greek"/>
    </font>
    <font>
      <sz val="12"/>
      <color theme="1"/>
      <name val="Calibri"/>
      <family val="2"/>
      <charset val="161"/>
      <scheme val="minor"/>
    </font>
    <font>
      <b/>
      <sz val="22"/>
      <name val="Arial Greek"/>
    </font>
    <font>
      <b/>
      <sz val="12"/>
      <name val="Arial"/>
      <family val="2"/>
      <charset val="161"/>
    </font>
    <font>
      <sz val="14"/>
      <name val="Arial Greek"/>
      <charset val="161"/>
    </font>
    <font>
      <b/>
      <sz val="20"/>
      <name val="Arial"/>
      <family val="2"/>
      <charset val="161"/>
    </font>
    <font>
      <b/>
      <sz val="16"/>
      <name val="Arial"/>
      <family val="2"/>
      <charset val="161"/>
    </font>
    <font>
      <b/>
      <sz val="26"/>
      <color theme="0" tint="-0.049989318521683403"/>
      <name val="Calibri"/>
      <family val="2"/>
      <scheme val="minor"/>
    </font>
    <font>
      <b/>
      <sz val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name val="Arial Greek"/>
    </font>
    <font>
      <sz val="16"/>
      <name val="Arial Greek"/>
    </font>
    <font>
      <b/>
      <sz val="8"/>
      <name val="Arial"/>
      <family val="2"/>
      <charset val="161"/>
    </font>
    <font>
      <sz val="10"/>
      <name val="Arial Greek"/>
    </font>
    <font>
      <sz val="10"/>
      <name val="Arial"/>
      <family val="2"/>
      <charset val="161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u/>
      <sz val="16"/>
      <color theme="0" tint="-0.049989318521683403"/>
      <name val="Calibri"/>
      <family val="2"/>
      <scheme val="minor"/>
    </font>
    <font>
      <sz val="72"/>
      <color rgb="FFFFFF00"/>
      <name val="Calibri"/>
      <family val="2"/>
      <scheme val="minor"/>
    </font>
    <font>
      <sz val="20"/>
      <color theme="1"/>
      <name val="Calibri"/>
    </font>
    <font>
      <sz val="14"/>
      <color theme="1"/>
      <name val="Calibri"/>
    </font>
    <font>
      <sz val="28"/>
      <color rgb="FFFF0000"/>
      <name val="Algerian"/>
      <family val="5"/>
    </font>
    <font>
      <sz val="28"/>
      <color theme="3"/>
      <name val="Algerian"/>
      <family val="5"/>
    </font>
  </fonts>
  <fills count="2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 applyProtection="1"/>
    <xf numFmtId="43" applyNumberFormat="1" fontId="93" applyFont="1" fillId="0" borderId="0" applyProtection="1"/>
    <xf numFmtId="0" fontId="92" applyFont="1" fillId="0" borderId="0" applyProtection="1"/>
    <xf numFmtId="0" fontId="4" applyFont="1" fillId="0" borderId="0" applyProtection="1"/>
    <xf numFmtId="9" applyNumberFormat="1" fontId="93" applyFont="1" fillId="0" borderId="0" applyProtection="1"/>
  </cellStyleXfs>
  <cellXfs count="1154">
    <xf numFmtId="0" fontId="0" fillId="0" borderId="0" xfId="0" applyProtection="1"/>
    <xf numFmtId="0" fontId="4" applyFont="1" fillId="0" borderId="0" xfId="3" applyProtection="1" applyAlignment="1">
      <alignment horizontal="center"/>
    </xf>
    <xf numFmtId="0" fontId="4" applyFont="1" fillId="0" borderId="1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3" applyBorder="1" xfId="3" applyProtection="1" applyAlignment="1">
      <alignment horizontal="center"/>
    </xf>
    <xf numFmtId="0" fontId="4" applyFont="1" fillId="0" borderId="4" applyBorder="1" xfId="3" applyProtection="1" applyAlignment="1">
      <alignment horizontal="center"/>
    </xf>
    <xf numFmtId="0" fontId="4" applyFont="1" fillId="0" borderId="5" applyBorder="1" xfId="3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0" borderId="7" applyBorder="1" xfId="3" applyProtection="1" applyAlignment="1">
      <alignment horizontal="center"/>
    </xf>
    <xf numFmtId="0" fontId="4" applyFont="1" fillId="0" borderId="8" applyBorder="1" xfId="3" applyProtection="1" applyAlignment="1">
      <alignment horizontal="center"/>
    </xf>
    <xf numFmtId="0" fontId="4" applyFont="1" fillId="0" borderId="0" xfId="3" applyProtection="1"/>
    <xf numFmtId="0" fontId="4" applyFont="1" fillId="0" borderId="0" xfId="3" applyProtection="1" applyAlignment="1">
      <alignment horizontal="left"/>
    </xf>
    <xf numFmtId="0" fontId="4" applyFont="1" fillId="0" borderId="9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11" applyBorder="1" xfId="3" applyProtection="1" applyAlignment="1">
      <alignment horizontal="center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  <protection locked="0"/>
    </xf>
    <xf numFmtId="0" fontId="4" applyFont="1" fillId="0" borderId="2" applyBorder="1" xfId="3" applyProtection="1"/>
    <xf numFmtId="0" fontId="4" applyFont="1" fillId="0" borderId="7" applyBorder="1" xfId="3" applyProtection="1"/>
    <xf numFmtId="0" fontId="4" applyFont="1" fillId="0" borderId="5" applyBorder="1" xfId="3" applyProtection="1"/>
    <xf numFmtId="0" fontId="4" applyFont="1" fillId="0" borderId="12" applyBorder="1" xfId="3" applyProtection="1" applyAlignment="1">
      <alignment horizontal="center"/>
    </xf>
    <xf numFmtId="0" fontId="4" applyFont="1" fillId="0" borderId="13" applyBorder="1" xfId="3" applyProtection="1" applyAlignment="1">
      <alignment horizontal="center"/>
    </xf>
    <xf numFmtId="0" fontId="4" applyFont="1" fillId="0" borderId="14" applyBorder="1" xfId="3" applyProtection="1" applyAlignment="1">
      <alignment horizontal="center"/>
    </xf>
    <xf numFmtId="0" fontId="4" applyFont="1" fillId="2" applyFill="1" borderId="15" applyBorder="1" xfId="3" applyProtection="1" applyAlignment="1">
      <alignment horizontal="center"/>
    </xf>
    <xf numFmtId="0" fontId="4" applyFont="1" fillId="2" applyFill="1" borderId="16" applyBorder="1" xfId="3" applyProtection="1" applyAlignment="1">
      <alignment horizontal="center"/>
    </xf>
    <xf numFmtId="0" fontId="4" applyFont="1" fillId="3" applyFill="1" borderId="6" applyBorder="1" xfId="3" applyProtection="1" applyAlignment="1">
      <alignment horizontal="center"/>
    </xf>
    <xf numFmtId="0" fontId="4" applyFont="1" fillId="2" applyFill="1" borderId="17" applyBorder="1" xfId="3" applyProtection="1" applyAlignment="1">
      <alignment horizontal="center"/>
    </xf>
    <xf numFmtId="0" fontId="4" applyFont="1" fillId="2" applyFill="1" borderId="9" applyBorder="1" xfId="3" applyProtection="1" applyAlignment="1">
      <alignment horizontal="center"/>
    </xf>
    <xf numFmtId="0" fontId="4" applyFont="1" fillId="3" applyFill="1" borderId="12" applyBorder="1" xfId="3" applyProtection="1" applyAlignment="1">
      <alignment horizontal="center"/>
    </xf>
    <xf numFmtId="0" fontId="4" applyFont="1" fillId="2" applyFill="1" borderId="18" applyBorder="1" xfId="3" applyProtection="1" applyAlignment="1">
      <alignment horizontal="center"/>
    </xf>
    <xf numFmtId="0" fontId="4" applyFont="1" fillId="2" applyFill="1" borderId="19" applyBorder="1" xfId="3" applyProtection="1" applyAlignment="1">
      <alignment horizontal="center"/>
    </xf>
    <xf numFmtId="0" fontId="4" applyFont="1" fillId="3" applyFill="1" borderId="14" applyBorder="1" xfId="3" applyProtection="1" applyAlignment="1">
      <alignment horizontal="center"/>
    </xf>
    <xf numFmtId="0" fontId="4" applyFont="1" fillId="3" applyFill="1" borderId="8" applyBorder="1" xfId="3" applyProtection="1" applyAlignment="1">
      <alignment horizontal="center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0" fontId="4" applyFont="1" fillId="5" applyFill="1" borderId="0" xfId="3" applyProtection="1">
      <protection locked="0"/>
    </xf>
    <xf numFmtId="0" fontId="5" applyFont="1" fillId="0" borderId="0" xfId="3" applyProtection="1" applyAlignment="1">
      <alignment horizontal="center"/>
      <protection locked="0"/>
    </xf>
    <xf numFmtId="16" applyNumberFormat="1" fontId="4" applyFont="1" fillId="0" borderId="0" xfId="3" applyProtection="1">
      <protection locked="0"/>
    </xf>
    <xf numFmtId="0" fontId="5" applyFont="1" fillId="0" borderId="23" applyBorder="1" xfId="3" applyProtection="1">
      <protection locked="0"/>
    </xf>
    <xf numFmtId="0" fontId="5" applyFont="1" fillId="0" borderId="0" xfId="3" applyProtection="1">
      <protection locked="0"/>
    </xf>
    <xf numFmtId="1" applyNumberFormat="1" fontId="4" applyFont="1" fillId="0" borderId="0" xfId="3" applyProtection="1">
      <protection locked="0"/>
    </xf>
    <xf numFmtId="0" fontId="6" applyFont="1" fillId="0" borderId="24" applyBorder="1" xfId="3" applyProtection="1">
      <protection locked="0"/>
    </xf>
    <xf numFmtId="1" applyNumberFormat="1" fontId="5" applyFont="1" fillId="0" borderId="0" xfId="3" applyProtection="1">
      <protection locked="0"/>
    </xf>
    <xf numFmtId="0" fontId="4" applyFont="1" fillId="0" borderId="25" applyBorder="1" xfId="3" applyProtection="1">
      <protection locked="0"/>
    </xf>
    <xf numFmtId="1" applyNumberFormat="1" fontId="5" applyFont="1" fillId="0" borderId="26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0" fontId="4" applyFont="1" fillId="0" borderId="26" applyBorder="1" xfId="3" applyProtection="1">
      <protection locked="0"/>
    </xf>
    <xf numFmtId="0" fontId="4" applyFont="1" fillId="0" borderId="27" applyBorder="1" xfId="3" applyProtection="1">
      <protection locked="0"/>
    </xf>
    <xf numFmtId="0" fontId="4" applyFont="1" fillId="0" borderId="3" applyBorder="1" xfId="3" applyProtection="1"/>
    <xf numFmtId="0" fontId="4" applyFont="1" fillId="0" borderId="13" applyBorder="1" xfId="3" applyProtection="1"/>
    <xf numFmtId="0" fontId="4" applyFont="1" fillId="0" borderId="4" applyBorder="1" xfId="3" applyProtection="1"/>
    <xf numFmtId="0" fontId="4" applyFont="1" fillId="0" borderId="8" applyBorder="1" xfId="3" applyProtection="1"/>
    <xf numFmtId="0" fontId="4" applyFont="1" fillId="0" borderId="14" applyBorder="1" xfId="3" applyProtection="1"/>
    <xf numFmtId="16" applyNumberFormat="1" fontId="4" applyFont="1" fillId="0" borderId="0" xfId="3" applyProtection="1" applyAlignment="1">
      <alignment horizontal="center"/>
      <protection locked="0"/>
    </xf>
    <xf numFmtId="1" applyNumberFormat="1" fontId="4" applyFont="1" fillId="0" borderId="0" xfId="3" applyProtection="1" applyAlignment="1">
      <alignment horizontal="center"/>
      <protection locked="0"/>
    </xf>
    <xf numFmtId="0" fontId="4" applyFont="1" fillId="0" borderId="26" applyBorder="1" xfId="3" applyProtection="1" applyAlignment="1">
      <alignment horizontal="center"/>
      <protection locked="0"/>
    </xf>
    <xf numFmtId="0" fontId="4" applyFont="1" fillId="5" applyFill="1" borderId="26" applyBorder="1" xfId="3" applyProtection="1">
      <protection locked="0"/>
    </xf>
    <xf numFmtId="0" fontId="7" applyFont="1" fillId="0" borderId="0" xfId="3" applyProtection="1"/>
    <xf numFmtId="0" fontId="4" applyFont="1" fillId="0" borderId="0" xfId="3" applyProtection="1" applyAlignment="1">
      <alignment vertical="center"/>
    </xf>
    <xf numFmtId="0" fontId="8" applyFont="1" fillId="0" borderId="28" applyBorder="1" xfId="3" applyProtection="1" applyAlignment="1">
      <alignment horizontal="center" vertical="center"/>
    </xf>
    <xf numFmtId="166" applyNumberFormat="1" fontId="8" applyFont="1" fillId="0" borderId="28" applyBorder="1" xfId="3" applyProtection="1" applyAlignment="1">
      <alignment horizontal="center" vertical="center"/>
    </xf>
    <xf numFmtId="0" fontId="8" applyFont="1" fillId="0" borderId="0" xfId="3" applyProtection="1" applyAlignment="1">
      <alignment horizontal="center" vertical="center"/>
    </xf>
    <xf numFmtId="2" applyNumberFormat="1" fontId="11" applyFont="1" fillId="0" borderId="0" xfId="3" applyProtection="1" applyAlignment="1">
      <alignment horizontal="center" vertical="center" shrinkToFit="1"/>
    </xf>
    <xf numFmtId="0" fontId="12" applyFont="1" fillId="6" applyFill="1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left" vertical="center" shrinkToFit="1"/>
    </xf>
    <xf numFmtId="0" fontId="12" applyFont="1" fillId="0" borderId="0" xfId="3" applyProtection="1" applyAlignment="1">
      <alignment horizontal="center" vertical="center" shrinkToFit="1"/>
    </xf>
    <xf numFmtId="0" fontId="18" applyFont="1" fillId="0" borderId="17" applyBorder="1" xfId="3" applyProtection="1" applyAlignment="1">
      <alignment horizontal="center"/>
    </xf>
    <xf numFmtId="0" fontId="19" applyFont="1" fillId="0" borderId="0" xfId="3" applyProtection="1" applyAlignment="1">
      <alignment horizontal="center"/>
    </xf>
    <xf numFmtId="0" fontId="18" applyFont="1" fillId="0" borderId="14" applyBorder="1" xfId="3" applyProtection="1" applyAlignment="1">
      <alignment vertical="center" shrinkToFit="1"/>
    </xf>
    <xf numFmtId="0" fontId="18" applyFont="1" fillId="0" borderId="14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 shrinkToFit="1"/>
    </xf>
    <xf numFmtId="0" fontId="18" applyFont="1" fillId="0" borderId="28" applyBorder="1" xfId="3" applyProtection="1" applyAlignment="1">
      <alignment vertical="center" shrinkToFit="1"/>
    </xf>
    <xf numFmtId="0" fontId="18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horizontal="center" vertical="center" shrinkToFit="1"/>
    </xf>
    <xf numFmtId="0" fontId="20" applyFont="1" fillId="0" borderId="0" xfId="3" applyProtection="1"/>
    <xf numFmtId="0" fontId="18" applyFont="1" fillId="0" borderId="0" xfId="3" applyProtection="1" applyAlignment="1">
      <alignment horizontal="center"/>
    </xf>
    <xf numFmtId="0" fontId="18" applyFont="1" fillId="0" borderId="10" applyBorder="1" xfId="3" applyProtection="1" applyAlignment="1">
      <alignment horizontal="center"/>
    </xf>
    <xf numFmtId="0" fontId="4" applyFont="1" fillId="0" borderId="10" applyBorder="1" xfId="3" applyProtection="1"/>
    <xf numFmtId="0" fontId="19" applyFont="1" fillId="0" borderId="10" applyBorder="1" xfId="3" applyProtection="1" applyAlignment="1">
      <alignment horizontal="center"/>
    </xf>
    <xf numFmtId="0" fontId="20" applyFont="1" fillId="0" borderId="10" applyBorder="1" xfId="3" applyProtection="1"/>
    <xf numFmtId="0" fontId="19" applyFont="1" fillId="0" borderId="0" xfId="3" applyProtection="1"/>
    <xf numFmtId="0" fontId="23" applyFont="1" fillId="0" borderId="4" applyBorder="1" xfId="3" applyProtection="1" applyAlignment="1">
      <alignment vertical="center" wrapText="1"/>
    </xf>
    <xf numFmtId="0" fontId="23" applyFont="1" fillId="0" borderId="5" applyBorder="1" xfId="3" applyProtection="1" applyAlignment="1">
      <alignment vertical="center" wrapText="1"/>
    </xf>
    <xf numFmtId="0" fontId="23" applyFont="1" fillId="0" borderId="8" applyBorder="1" xfId="3" applyProtection="1" applyAlignment="1">
      <alignment vertical="center" wrapText="1"/>
    </xf>
    <xf numFmtId="0" fontId="4" applyFont="1" fillId="0" borderId="9" applyBorder="1" xfId="3" applyProtection="1"/>
    <xf numFmtId="0" fontId="4" applyFont="1" fillId="0" borderId="1" applyBorder="1" xfId="3" applyProtection="1"/>
    <xf numFmtId="0" fontId="9" applyFont="1" fillId="0" borderId="0" xfId="3" applyProtection="1" applyAlignment="1">
      <alignment horizontal="center"/>
    </xf>
    <xf numFmtId="0" fontId="24" applyFont="1" fillId="0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horizontal="center" vertical="center" wrapText="1"/>
    </xf>
    <xf numFmtId="0" fontId="8" applyFont="1" fillId="0" borderId="28" applyBorder="1" xfId="3" applyProtection="1" applyAlignment="1">
      <alignment horizontal="center" vertical="center" wrapText="1"/>
    </xf>
    <xf numFmtId="167" applyNumberFormat="1" fontId="4" applyFont="1" fillId="0" borderId="0" xfId="3" applyProtection="1" applyAlignment="1">
      <alignment horizontal="center" vertical="center" wrapText="1"/>
    </xf>
    <xf numFmtId="167" applyNumberFormat="1" fontId="8" applyFont="1" fillId="0" borderId="28" applyBorder="1" xfId="3" applyProtection="1" applyAlignment="1">
      <alignment horizontal="center" vertical="center" wrapText="1"/>
    </xf>
    <xf numFmtId="167" applyNumberFormat="1" fontId="4" applyFont="1" fillId="0" borderId="0" xfId="3" applyProtection="1" applyAlignment="1">
      <alignment vertical="center" wrapText="1"/>
    </xf>
    <xf numFmtId="0" fontId="25" applyFont="1" fillId="0" borderId="5" applyBorder="1" xfId="3" applyProtection="1" applyAlignment="1">
      <alignment horizontal="center"/>
    </xf>
    <xf numFmtId="3" applyNumberFormat="1" fontId="12" applyFont="1" fillId="0" borderId="5" applyBorder="1" xfId="3" applyProtection="1" applyAlignment="1">
      <alignment vertical="center"/>
    </xf>
    <xf numFmtId="0" fontId="12" applyFont="1" fillId="0" borderId="29" applyBorder="1" xfId="3" applyProtection="1" applyAlignment="1">
      <alignment vertical="center"/>
    </xf>
    <xf numFmtId="0" fontId="12" applyFont="1" fillId="0" borderId="28" applyBorder="1" xfId="3" applyProtection="1" applyAlignment="1">
      <alignment horizontal="center" vertical="center"/>
    </xf>
    <xf numFmtId="0" fontId="16" applyFont="1" fillId="0" borderId="10" applyBorder="1" xfId="3" applyProtection="1" applyAlignment="1">
      <alignment vertical="center"/>
    </xf>
    <xf numFmtId="4" applyNumberFormat="1" fontId="16" applyFont="1" fillId="4" applyFill="1" borderId="29" applyBorder="1" xfId="3" applyProtection="1" applyAlignment="1">
      <alignment vertical="center"/>
    </xf>
    <xf numFmtId="0" fontId="26" applyFont="1" fillId="2" applyFill="1" borderId="10" applyBorder="1" xfId="3" applyProtection="1" applyAlignment="1">
      <alignment horizontal="center"/>
    </xf>
    <xf numFmtId="0" fontId="16" applyFont="1" fillId="2" applyFill="1" borderId="11" applyBorder="1" xfId="3" applyProtection="1" applyAlignment="1">
      <alignment vertical="center"/>
    </xf>
    <xf numFmtId="4" applyNumberFormat="1" fontId="27" applyFont="1" fillId="7" applyFill="1" borderId="0" xfId="3" applyProtection="1" applyAlignment="1">
      <alignment vertical="center"/>
    </xf>
    <xf numFmtId="0" fontId="8" applyFont="1" fillId="2" applyFill="1" borderId="28" applyBorder="1" xfId="3" applyProtection="1" applyAlignment="1">
      <alignment horizontal="center" vertical="center"/>
    </xf>
    <xf numFmtId="0" fontId="5" applyFont="1" fillId="0" borderId="0" xfId="3" applyProtection="1" applyAlignment="1">
      <alignment vertical="center" shrinkToFit="1"/>
    </xf>
    <xf numFmtId="0" fontId="23" applyFont="1" fillId="0" borderId="0" xfId="3" applyProtection="1" applyAlignment="1">
      <alignment horizontal="center"/>
    </xf>
    <xf numFmtId="0" fontId="4" applyFont="1" fillId="0" borderId="0" xfId="3" applyProtection="1" applyAlignment="1">
      <alignment vertical="center" shrinkToFit="1"/>
    </xf>
    <xf numFmtId="0" fontId="12" applyFont="1" fillId="2" applyFill="1" borderId="28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 shrinkToFit="1"/>
    </xf>
    <xf numFmtId="0" fontId="23" applyFont="1" fillId="0" borderId="14" applyBorder="1" xfId="3" applyProtection="1" applyAlignment="1">
      <alignment horizontal="center" vertical="center" shrinkToFit="1"/>
    </xf>
    <xf numFmtId="0" fontId="28" applyFont="1" fillId="0" borderId="14" applyBorder="1" xfId="3" applyProtection="1" applyAlignment="1">
      <alignment horizontal="center" vertical="center" shrinkToFit="1"/>
    </xf>
    <xf numFmtId="0" fontId="23" applyFont="1" fillId="0" borderId="0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 vertical="center" shrinkToFit="1"/>
    </xf>
    <xf numFmtId="165" applyNumberFormat="1" fontId="29" applyFont="1" fillId="0" borderId="0" xfId="3" applyProtection="1" applyAlignment="1">
      <alignment horizontal="center" vertical="center" shrinkToFit="1"/>
    </xf>
    <xf numFmtId="0" fontId="13" applyFont="1" fillId="0" borderId="34" applyBorder="1" xfId="3" applyProtection="1" applyAlignment="1">
      <alignment horizontal="center" vertical="center" shrinkToFit="1"/>
    </xf>
    <xf numFmtId="0" fontId="13" applyFont="1" fillId="0" borderId="0" xfId="3" applyProtection="1" applyAlignment="1">
      <alignment horizontal="center" vertical="center" shrinkToFit="1"/>
    </xf>
    <xf numFmtId="165" applyNumberFormat="1" fontId="23" applyFont="1" fillId="0" borderId="0" xfId="3" applyProtection="1" applyAlignment="1">
      <alignment horizontal="center" vertical="center" shrinkToFit="1"/>
    </xf>
    <xf numFmtId="0" fontId="23" applyFont="1" fillId="0" borderId="0" xfId="3" applyProtection="1" applyAlignment="1">
      <alignment vertical="center" shrinkToFit="1"/>
    </xf>
    <xf numFmtId="0" fontId="12" applyFont="1" fillId="0" borderId="28" applyBorder="1" xfId="3" applyProtection="1" applyAlignment="1">
      <alignment horizontal="center" vertical="center" shrinkToFit="1"/>
    </xf>
    <xf numFmtId="0" fontId="19" applyFont="1" fillId="0" borderId="0" xfId="3" applyProtection="1" applyAlignment="1">
      <alignment vertical="center"/>
    </xf>
    <xf numFmtId="0" fontId="30" applyFont="1" fillId="6" applyFill="1" borderId="28" applyBorder="1" xfId="3" applyProtection="1" applyAlignment="1">
      <alignment horizontal="center" vertical="center"/>
    </xf>
    <xf numFmtId="0" fontId="30" applyFont="1" fillId="0" borderId="28" applyBorder="1" xfId="3" applyProtection="1" applyAlignment="1">
      <alignment horizontal="center" vertical="center"/>
    </xf>
    <xf numFmtId="0" fontId="18" applyFont="1" fillId="2" applyFill="1" borderId="28" applyBorder="1" xfId="3" applyProtection="1" applyAlignment="1">
      <alignment horizontal="center" vertical="center" shrinkToFit="1"/>
    </xf>
    <xf numFmtId="0" fontId="19" applyFont="1" fillId="0" borderId="10" applyBorder="1" xfId="3" applyProtection="1"/>
    <xf numFmtId="0" fontId="30" applyFont="1" fillId="0" borderId="10" applyBorder="1" xfId="3" applyProtection="1" applyAlignment="1">
      <alignment vertical="center" shrinkToFit="1"/>
    </xf>
    <xf numFmtId="0" fontId="30" applyFont="1" fillId="0" borderId="11" applyBorder="1" xfId="3" applyProtection="1" applyAlignment="1">
      <alignment vertical="center" shrinkToFit="1"/>
    </xf>
    <xf numFmtId="0" fontId="30" applyFont="1" fillId="0" borderId="0" xfId="3" applyProtection="1" applyAlignment="1">
      <alignment vertical="center" shrinkToFit="1"/>
    </xf>
    <xf numFmtId="0" fontId="30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vertical="center" shrinkToFit="1"/>
    </xf>
    <xf numFmtId="0" fontId="33" applyFont="1" fillId="0" borderId="28" applyBorder="1" xfId="3" applyProtection="1" applyAlignment="1">
      <alignment horizontal="center" vertical="center" shrinkToFit="1"/>
    </xf>
    <xf numFmtId="0" fontId="33" applyFont="1" fillId="0" borderId="0" xfId="3" applyProtection="1" applyAlignment="1">
      <alignment horizontal="center" shrinkToFit="1"/>
    </xf>
    <xf numFmtId="0" fontId="4" applyFont="1" fillId="0" borderId="11" applyBorder="1" xfId="3" applyProtection="1" applyAlignment="1">
      <alignment vertical="center"/>
    </xf>
    <xf numFmtId="0" fontId="4" applyFont="1" fillId="0" borderId="6" applyBorder="1" xfId="3" applyProtection="1" applyAlignment="1">
      <alignment vertical="center"/>
    </xf>
    <xf numFmtId="0" fontId="4" applyFont="1" fillId="0" borderId="7" applyBorder="1" xfId="3" applyProtection="1" applyAlignment="1">
      <alignment vertical="center"/>
    </xf>
    <xf numFmtId="0" fontId="4" applyFont="1" fillId="0" borderId="8" applyBorder="1" xfId="3" applyProtection="1" applyAlignment="1">
      <alignment vertical="center"/>
    </xf>
    <xf numFmtId="4" applyNumberFormat="1" fontId="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/>
    </xf>
    <xf numFmtId="0" fontId="8" applyFont="1" fillId="4" applyFill="1" borderId="28" applyBorder="1" xfId="3" applyProtection="1" applyAlignment="1">
      <alignment horizontal="center" vertical="center"/>
    </xf>
    <xf numFmtId="166" applyNumberFormat="1" fontId="8" applyFont="1" fillId="2" applyFill="1" borderId="28" applyBorder="1" xfId="3" applyProtection="1" applyAlignment="1">
      <alignment horizontal="center" vertical="center"/>
    </xf>
    <xf numFmtId="2" applyNumberFormat="1" fontId="8" applyFont="1" fillId="2" applyFill="1" borderId="28" applyBorder="1" xfId="3" applyProtection="1" applyAlignment="1">
      <alignment horizontal="center" vertical="center"/>
    </xf>
    <xf numFmtId="3" applyNumberFormat="1" fontId="8" applyFont="1" fillId="2" applyFill="1" borderId="28" applyBorder="1" xfId="3" applyProtection="1" applyAlignment="1">
      <alignment horizontal="center" vertical="center"/>
    </xf>
    <xf numFmtId="0" fontId="8" applyFont="1" fillId="6" applyFill="1" borderId="28" applyBorder="1" xfId="3" applyProtection="1" applyAlignment="1">
      <alignment horizontal="center" vertical="center"/>
    </xf>
    <xf numFmtId="166" applyNumberFormat="1" fontId="8" applyFont="1" fillId="6" applyFill="1" borderId="28" applyBorder="1" xfId="3" applyProtection="1" applyAlignment="1">
      <alignment horizontal="center" vertical="center"/>
    </xf>
    <xf numFmtId="3" applyNumberFormat="1" fontId="8" applyFont="1" fillId="6" applyFill="1" borderId="28" applyBorder="1" xfId="3" applyProtection="1" applyAlignment="1">
      <alignment horizontal="center" vertical="center"/>
    </xf>
    <xf numFmtId="3" applyNumberFormat="1" fontId="8" applyFont="1" fillId="4" applyFill="1" borderId="28" applyBorder="1" xfId="3" applyProtection="1" applyAlignment="1">
      <alignment horizontal="center" vertical="center"/>
    </xf>
    <xf numFmtId="0" fontId="24" applyFont="1" fillId="6" applyFill="1" borderId="28" applyBorder="1" xfId="3" applyProtection="1" applyAlignment="1">
      <alignment horizontal="center" vertical="center"/>
    </xf>
    <xf numFmtId="166" applyNumberFormat="1" fontId="24" applyFont="1" fillId="6" applyFill="1" borderId="28" applyBorder="1" xfId="3" applyProtection="1" applyAlignment="1">
      <alignment horizontal="center" vertical="center"/>
    </xf>
    <xf numFmtId="0" fontId="8" applyFont="1" fillId="8" applyFill="1" borderId="28" applyBorder="1" xfId="3" applyProtection="1" applyAlignment="1">
      <alignment horizontal="center" vertical="center"/>
    </xf>
    <xf numFmtId="166" applyNumberFormat="1" fontId="8" applyFont="1" fillId="0" borderId="12" applyBorder="1" xfId="3" applyProtection="1" applyAlignment="1">
      <alignment horizontal="center" vertical="center"/>
    </xf>
    <xf numFmtId="0" fontId="8" applyFont="1" fillId="0" borderId="12" applyBorder="1" xfId="3" applyProtection="1" applyAlignment="1">
      <alignment horizontal="center" vertical="center"/>
    </xf>
    <xf numFmtId="0" fontId="8" applyFont="1" fillId="0" borderId="9" applyBorder="1" xfId="3" applyProtection="1" applyAlignment="1">
      <alignment horizontal="center" vertical="center"/>
    </xf>
    <xf numFmtId="166" applyNumberFormat="1" fontId="8" applyFont="1" fillId="0" borderId="15" applyBorder="1" xfId="3" applyProtection="1" applyAlignment="1">
      <alignment horizontal="center" vertical="center"/>
    </xf>
    <xf numFmtId="0" fontId="8" applyFont="1" fillId="0" borderId="34" applyBorder="1" xfId="3" applyProtection="1" applyAlignment="1">
      <alignment horizontal="center" vertical="center"/>
    </xf>
    <xf numFmtId="166" applyNumberFormat="1" fontId="8" applyFont="1" fillId="0" borderId="17" applyBorder="1" xfId="3" applyProtection="1" applyAlignment="1">
      <alignment horizontal="center" vertical="center"/>
    </xf>
    <xf numFmtId="165" applyNumberFormat="1" fontId="8" applyFont="1" fillId="0" borderId="28" applyBorder="1" xfId="3" applyProtection="1" applyAlignment="1">
      <alignment horizontal="center" vertical="center"/>
    </xf>
    <xf numFmtId="166" applyNumberFormat="1" fontId="8" applyFont="1" fillId="0" borderId="18" applyBorder="1" xfId="3" applyProtection="1" applyAlignment="1">
      <alignment horizontal="center" vertical="center"/>
    </xf>
    <xf numFmtId="0" fontId="8" applyFont="1" fillId="0" borderId="33" applyBorder="1" xfId="3" applyProtection="1" applyAlignment="1">
      <alignment horizontal="center" vertical="center"/>
    </xf>
    <xf numFmtId="166" applyNumberFormat="1" fontId="8" applyFont="1" fillId="0" borderId="14" applyBorder="1" xfId="3" applyProtection="1" applyAlignment="1">
      <alignment horizontal="center" vertical="center"/>
    </xf>
    <xf numFmtId="0" fontId="8" applyFont="1" fillId="0" borderId="14" applyBorder="1" xfId="3" applyProtection="1" applyAlignment="1">
      <alignment horizontal="center" vertical="center"/>
    </xf>
    <xf numFmtId="0" fontId="24" applyFont="1" fillId="6" applyFill="1" borderId="9" applyBorder="1" xfId="3" applyProtection="1" applyAlignment="1">
      <alignment horizontal="center" vertical="center"/>
    </xf>
    <xf numFmtId="0" fontId="8" applyFont="1" fillId="0" borderId="1" applyBorder="1" xfId="3" applyProtection="1" applyAlignment="1">
      <alignment horizontal="center" vertical="center"/>
    </xf>
    <xf numFmtId="0" fontId="8" applyFont="1" fillId="0" borderId="16" applyBorder="1" xfId="3" applyProtection="1" applyAlignment="1">
      <alignment horizontal="center" vertical="center"/>
    </xf>
    <xf numFmtId="0" fontId="8" applyFont="1" fillId="0" borderId="19" applyBorder="1" xfId="3" applyProtection="1" applyAlignment="1">
      <alignment horizontal="center" vertical="center"/>
    </xf>
    <xf numFmtId="0" fontId="24" applyFont="1" fillId="0" borderId="10" applyBorder="1" xfId="3" applyProtection="1"/>
    <xf numFmtId="2" applyNumberFormat="1" fontId="24" applyFont="1" fillId="0" borderId="10" applyBorder="1" xfId="3" applyProtection="1"/>
    <xf numFmtId="0" fontId="24" applyFont="1" fillId="0" borderId="3" applyBorder="1" xfId="3" applyProtection="1"/>
    <xf numFmtId="0" fontId="24" applyFont="1" fillId="0" borderId="0" xfId="3" applyProtection="1"/>
    <xf numFmtId="0" fontId="24" applyFont="1" fillId="0" borderId="1" applyBorder="1" xfId="3" applyProtection="1"/>
    <xf numFmtId="0" fontId="24" applyFont="1" fillId="0" borderId="2" applyBorder="1" xfId="3" applyProtection="1"/>
    <xf numFmtId="0" fontId="24" applyFont="1" fillId="0" borderId="4" applyBorder="1" xfId="3" applyProtection="1"/>
    <xf numFmtId="0" fontId="24" applyFont="1" fillId="0" borderId="5" applyBorder="1" xfId="3" applyProtection="1"/>
    <xf numFmtId="0" fontId="34" applyFont="1" fillId="0" borderId="10" applyBorder="1" xfId="3" applyProtection="1"/>
    <xf numFmtId="0" fontId="34" applyFont="1" fillId="0" borderId="11" applyBorder="1" xfId="3" applyProtection="1" applyAlignment="1">
      <alignment vertical="center"/>
    </xf>
    <xf numFmtId="0" fontId="34" applyFont="1" fillId="0" borderId="0" xfId="3" applyProtection="1" applyAlignment="1">
      <alignment vertical="center"/>
    </xf>
    <xf numFmtId="0" fontId="24" applyFont="1" fillId="0" borderId="6" applyBorder="1" xfId="3" applyProtection="1"/>
    <xf numFmtId="0" fontId="34" applyFont="1" fillId="0" borderId="0" xfId="3" applyProtection="1"/>
    <xf numFmtId="0" fontId="24" applyFont="1" fillId="0" borderId="0" xfId="3" applyProtection="1" applyAlignment="1">
      <alignment horizontal="center"/>
    </xf>
    <xf numFmtId="0" fontId="24" applyFont="1" fillId="0" borderId="8" applyBorder="1" xfId="3" applyProtection="1"/>
    <xf numFmtId="0" fontId="4" applyFont="1" fillId="0" borderId="10" applyBorder="1" xfId="3" applyProtection="1" applyAlignment="1">
      <alignment horizontal="center"/>
      <protection locked="0"/>
    </xf>
    <xf numFmtId="0" fontId="7" applyFont="1" fillId="2" applyFill="1" borderId="5" applyBorder="1" xfId="3" applyProtection="1" applyAlignment="1">
      <alignment horizontal="center"/>
    </xf>
    <xf numFmtId="3" applyNumberFormat="1" fontId="7" applyFont="1" fillId="2" applyFill="1" borderId="14" applyBorder="1" xfId="3" applyProtection="1" applyAlignment="1">
      <alignment horizontal="center"/>
      <protection locked="0"/>
    </xf>
    <xf numFmtId="0" fontId="7" applyFont="1" fillId="2" applyFill="1" borderId="14" applyBorder="1" xfId="3" applyProtection="1" applyAlignment="1">
      <alignment horizontal="center"/>
    </xf>
    <xf numFmtId="3" applyNumberFormat="1" fontId="7" applyFont="1" fillId="2" applyFill="1" borderId="8" applyBorder="1" xfId="3" applyProtection="1" applyAlignment="1">
      <alignment horizontal="center"/>
      <protection locked="0"/>
    </xf>
    <xf numFmtId="0" fontId="4" applyFont="1" fillId="0" borderId="11" applyBorder="1" xfId="3" applyProtection="1" applyAlignment="1">
      <alignment horizontal="left"/>
    </xf>
    <xf numFmtId="0" fontId="4" applyFont="1" fillId="0" borderId="28" applyBorder="1" xfId="3" applyProtection="1" applyAlignment="1">
      <alignment horizontal="center"/>
    </xf>
    <xf numFmtId="0" fontId="12" applyFont="1" fillId="0" borderId="5" applyBorder="1" xfId="3" applyProtection="1" applyAlignment="1">
      <alignment vertical="center"/>
    </xf>
    <xf numFmtId="0" fontId="8" applyFont="1" fillId="0" borderId="0" xfId="3" applyProtection="1" applyAlignment="1">
      <alignment horizontal="center"/>
    </xf>
    <xf numFmtId="0" fontId="8" applyFont="1" fillId="8" applyFill="1" borderId="20" applyBorder="1" xfId="3" applyProtection="1" applyAlignment="1">
      <alignment vertical="center"/>
    </xf>
    <xf numFmtId="168" applyNumberFormat="1" fontId="35" applyFont="1" fillId="8" applyFill="1" borderId="21" applyBorder="1" xfId="3" applyProtection="1" applyAlignment="1">
      <alignment horizontal="right"/>
    </xf>
    <xf numFmtId="0" fontId="8" applyFont="1" fillId="9" applyFill="1" borderId="21" applyBorder="1" xfId="3" applyProtection="1" applyAlignment="1">
      <alignment horizontal="center"/>
    </xf>
    <xf numFmtId="3" applyNumberFormat="1" fontId="8" applyFont="1" fillId="2" applyFill="1" borderId="21" applyBorder="1" xfId="3" applyProtection="1" applyAlignment="1">
      <alignment horizontal="center"/>
    </xf>
    <xf numFmtId="0" fontId="24" applyFont="1" fillId="0" borderId="21" applyBorder="1" xfId="3" applyProtection="1"/>
    <xf numFmtId="0" fontId="36" applyFont="1" fillId="0" borderId="23" applyBorder="1" xfId="0" applyProtection="1" applyAlignment="1">
      <alignment horizontal="center" vertical="center"/>
    </xf>
    <xf numFmtId="0" fontId="36" applyFont="1" fillId="0" borderId="0" xfId="0" applyProtection="1" applyAlignment="1">
      <alignment horizontal="center" vertical="center"/>
    </xf>
    <xf numFmtId="0" fontId="37" applyFont="1" fillId="0" borderId="0" xfId="3" applyProtection="1" applyAlignment="1">
      <alignment horizontal="center"/>
    </xf>
    <xf numFmtId="3" applyNumberFormat="1" fontId="36" applyFont="1" fillId="0" borderId="0" xfId="0" applyProtection="1" applyAlignment="1">
      <alignment horizontal="center" vertical="center"/>
    </xf>
    <xf numFmtId="168" applyNumberFormat="1" fontId="36" applyFont="1" fillId="0" borderId="0" xfId="0" applyProtection="1" applyAlignment="1">
      <alignment horizontal="center" vertical="center"/>
    </xf>
    <xf numFmtId="0" fontId="37" applyFont="1" fillId="0" borderId="28" applyBorder="1" xfId="3" applyProtection="1" applyAlignment="1">
      <alignment horizontal="center"/>
    </xf>
    <xf numFmtId="2" applyNumberFormat="1" fontId="36" applyFont="1" fillId="0" borderId="0" xfId="0" applyProtection="1" applyAlignment="1">
      <alignment horizontal="center" vertical="center"/>
    </xf>
    <xf numFmtId="0" fontId="4" applyFont="1" fillId="0" borderId="23" applyBorder="1" xfId="3" applyProtection="1" applyAlignment="1">
      <alignment horizontal="center"/>
    </xf>
    <xf numFmtId="0" fontId="39" applyFont="1" fillId="0" borderId="35" applyBorder="1" xfId="0" applyProtection="1" applyAlignment="1">
      <alignment horizontal="center" vertical="center"/>
    </xf>
    <xf numFmtId="0" fontId="39" applyFont="1" fillId="0" borderId="36" applyBorder="1" xfId="0" applyProtection="1" applyAlignment="1">
      <alignment horizontal="center" vertical="center"/>
    </xf>
    <xf numFmtId="0" fontId="40" applyFont="1" fillId="0" borderId="37" applyBorder="1" xfId="0" applyProtection="1" applyAlignment="1">
      <alignment horizontal="center" vertical="center"/>
      <protection locked="0"/>
    </xf>
    <xf numFmtId="0" fontId="40" applyFont="1" fillId="0" borderId="38" applyBorder="1" xfId="0" applyProtection="1" applyAlignment="1">
      <alignment horizontal="center" vertical="center"/>
      <protection locked="0"/>
    </xf>
    <xf numFmtId="2" applyNumberFormat="1" fontId="4" applyFont="1" fillId="0" borderId="28" applyBorder="1" xfId="3" applyProtection="1" applyAlignment="1">
      <alignment horizontal="center"/>
    </xf>
    <xf numFmtId="0" fontId="41" applyFont="1" fillId="2" applyFill="1" borderId="29" applyBorder="1" xfId="0" applyProtection="1" applyAlignment="1">
      <alignment vertical="center"/>
      <protection locked="0"/>
    </xf>
    <xf numFmtId="0" fontId="42" applyFont="1" fillId="0" borderId="0" xfId="0" applyProtection="1" applyAlignment="1">
      <alignment horizontal="center"/>
    </xf>
    <xf numFmtId="0" fontId="39" applyFont="1" fillId="0" borderId="0" xfId="0" applyProtection="1" applyAlignment="1">
      <alignment horizontal="center"/>
    </xf>
    <xf numFmtId="0" fontId="39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</xf>
    <xf numFmtId="0" fontId="45" applyFont="1" fillId="0" borderId="0" xfId="0" applyProtection="1" applyAlignment="1">
      <alignment horizontal="center"/>
      <protection locked="0"/>
    </xf>
    <xf numFmtId="0" fontId="45" applyFont="1" fillId="0" borderId="0" xfId="0" applyProtection="1" applyAlignment="1">
      <alignment horizontal="center" vertical="center" shrinkToFit="1"/>
    </xf>
    <xf numFmtId="0" fontId="45" applyFont="1" fillId="0" borderId="0" xfId="0" applyProtection="1" applyAlignment="1">
      <alignment horizontal="center" shrinkToFit="1"/>
    </xf>
    <xf numFmtId="0" fontId="46" applyFont="1" fillId="0" borderId="0" xfId="0" applyProtection="1" applyAlignment="1">
      <alignment horizontal="center" vertical="center" shrinkToFit="1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/>
      <protection locked="0"/>
    </xf>
    <xf numFmtId="0" fontId="45" applyFont="1" fillId="7" applyFill="1" borderId="0" xfId="0" applyProtection="1" applyAlignment="1">
      <alignment horizontal="center" vertical="center" shrinkToFit="1"/>
    </xf>
    <xf numFmtId="0" fontId="45" applyFont="1" fillId="7" applyFill="1" borderId="0" xfId="0" applyProtection="1" applyAlignment="1">
      <alignment horizontal="center" shrinkToFit="1"/>
    </xf>
    <xf numFmtId="1" applyNumberFormat="1" fontId="45" applyFont="1" fillId="0" borderId="0" xfId="0" applyProtection="1" applyAlignment="1">
      <alignment horizontal="center"/>
      <protection locked="0"/>
    </xf>
    <xf numFmtId="14" applyNumberFormat="1" fontId="44" applyFont="1" fillId="0" borderId="16" applyBorder="1" xfId="0" applyProtection="1" applyAlignment="1">
      <alignment horizontal="center"/>
    </xf>
    <xf numFmtId="0" fontId="44" applyFont="1" fillId="0" borderId="39" applyBorder="1" xfId="0" applyProtection="1"/>
    <xf numFmtId="0" fontId="44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2" applyFont="1" fillId="0" borderId="21" applyBorder="1" xfId="0" applyProtection="1" applyAlignment="1">
      <alignment horizontal="center"/>
    </xf>
    <xf numFmtId="2" applyNumberFormat="1" fontId="47" applyFont="1" fillId="0" borderId="19" applyBorder="1" xfId="0" applyProtection="1" applyAlignment="1">
      <alignment horizontal="center"/>
    </xf>
    <xf numFmtId="0" fontId="47" applyFont="1" fillId="0" borderId="40" applyBorder="1" xfId="0" applyProtection="1"/>
    <xf numFmtId="4" applyNumberFormat="1" fontId="39" applyFont="1" fillId="0" borderId="35" applyBorder="1" xfId="0" applyProtection="1" applyAlignment="1">
      <alignment horizontal="center"/>
    </xf>
    <xf numFmtId="4" applyNumberFormat="1" fontId="39" applyFont="1" fillId="0" borderId="28" applyBorder="1" xfId="0" applyProtection="1" applyAlignment="1">
      <alignment horizontal="center"/>
    </xf>
    <xf numFmtId="4" applyNumberFormat="1" fontId="39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4" applyFont="1" fillId="2" applyFill="1" borderId="41" applyBorder="1" xfId="0" applyProtection="1" applyAlignment="1">
      <alignment horizontal="center" vertical="center"/>
    </xf>
    <xf numFmtId="169" applyNumberFormat="1" fontId="44" applyFont="1" fillId="0" borderId="0" xfId="0" applyProtection="1" applyAlignment="1">
      <alignment vertical="center"/>
    </xf>
    <xf numFmtId="169" applyNumberFormat="1" fontId="39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3" applyNumberFormat="1" fontId="46" applyFont="1" fillId="0" borderId="0" xfId="0" applyProtection="1" applyAlignment="1">
      <alignment horizontal="center"/>
    </xf>
    <xf numFmtId="2" applyNumberFormat="1" fontId="45" applyFont="1" fillId="12" applyFill="1" borderId="0" xfId="0" applyProtection="1" applyAlignment="1">
      <alignment horizontal="center"/>
    </xf>
    <xf numFmtId="9" applyNumberFormat="1" fontId="37" applyFont="1" fillId="0" borderId="0" xfId="4" applyProtection="1" applyAlignment="1">
      <alignment horizontal="center"/>
    </xf>
    <xf numFmtId="0" fontId="46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9" applyNumberFormat="1" fontId="37" applyFont="1" fillId="0" borderId="0" xfId="0" applyProtection="1" applyAlignment="1">
      <alignment horizontal="center"/>
    </xf>
    <xf numFmtId="14" applyNumberFormat="1" fontId="45" applyFont="1" fillId="0" borderId="0" xfId="0" applyProtection="1" applyAlignment="1">
      <alignment horizontal="center"/>
    </xf>
    <xf numFmtId="4" applyNumberFormat="1" fontId="45" applyFont="1" fillId="13" applyFill="1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4" applyNumberFormat="1" fontId="46" applyFont="1" fillId="0" borderId="0" xfId="0" applyProtection="1" applyAlignment="1">
      <alignment horizontal="center"/>
    </xf>
    <xf numFmtId="9" applyNumberFormat="1" fontId="45" applyFont="1" fillId="0" borderId="0" xfId="4" applyProtection="1" applyAlignment="1">
      <alignment horizontal="center"/>
    </xf>
    <xf numFmtId="0" fontId="45" applyFont="1" fillId="7" applyFill="1" borderId="0" xfId="0" applyProtection="1" applyAlignment="1">
      <alignment horizontal="center"/>
    </xf>
    <xf numFmtId="165" applyNumberFormat="1" fontId="37" applyFont="1" fillId="0" borderId="0" xfId="4" applyProtection="1" applyAlignment="1">
      <alignment horizontal="center"/>
    </xf>
    <xf numFmtId="1" applyNumberFormat="1" fontId="45" applyFont="1" fillId="12" applyFill="1" borderId="0" xfId="0" applyProtection="1" applyAlignment="1">
      <alignment horizontal="center"/>
    </xf>
    <xf numFmtId="168" applyNumberFormat="1" fontId="37" applyFont="1" fillId="0" borderId="0" xfId="0" applyProtection="1" applyAlignment="1">
      <alignment horizontal="center"/>
    </xf>
    <xf numFmtId="0" fontId="42" applyFont="1" fillId="0" borderId="22" applyBorder="1" xfId="0" applyProtection="1" applyAlignment="1">
      <alignment horizontal="center"/>
    </xf>
    <xf numFmtId="0" fontId="42" applyFont="1" fillId="0" borderId="24" applyBorder="1" xfId="0" applyProtection="1" applyAlignment="1">
      <alignment horizontal="center"/>
    </xf>
    <xf numFmtId="0" fontId="37" applyFont="1" fillId="0" borderId="24" applyBorder="1" xfId="0" applyProtection="1" applyAlignment="1">
      <alignment horizontal="center"/>
    </xf>
    <xf numFmtId="168" applyNumberFormat="1" fontId="37" applyFont="1" fillId="0" borderId="24" applyBorder="1" xfId="0" applyProtection="1" applyAlignment="1">
      <alignment horizontal="center"/>
    </xf>
    <xf numFmtId="0" fontId="37" applyFont="1" fillId="0" borderId="15" applyBorder="1" xfId="3" applyProtection="1" applyAlignment="1">
      <alignment horizontal="center"/>
    </xf>
    <xf numFmtId="2" applyNumberFormat="1" fontId="4" applyFont="1" fillId="0" borderId="34" applyBorder="1" xfId="3" applyProtection="1" applyAlignment="1">
      <alignment horizontal="center"/>
    </xf>
    <xf numFmtId="2" applyNumberFormat="1" fontId="4" applyFont="1" fillId="0" borderId="33" applyBorder="1" xfId="3" applyProtection="1" applyAlignment="1">
      <alignment horizontal="center"/>
    </xf>
    <xf numFmtId="0" fontId="4" applyFont="1" fillId="0" borderId="36" applyBorder="1" xfId="3" applyProtection="1" applyAlignment="1">
      <alignment horizontal="center"/>
    </xf>
    <xf numFmtId="0" fontId="4" applyFont="1" fillId="0" borderId="42" applyBorder="1" xfId="3" applyProtection="1" applyAlignment="1">
      <alignment horizontal="center"/>
    </xf>
    <xf numFmtId="0" fontId="4" applyFont="1" fillId="0" borderId="38" applyBorder="1" xfId="3" applyProtection="1" applyAlignment="1">
      <alignment horizontal="center"/>
    </xf>
    <xf numFmtId="2" applyNumberFormat="1" fontId="4" applyFont="1" fillId="0" borderId="0" xfId="3" applyProtection="1" applyAlignment="1">
      <alignment horizontal="center"/>
    </xf>
    <xf numFmtId="170" applyNumberFormat="1" fontId="37" applyFont="1" fillId="0" borderId="0" xfId="4" applyProtection="1" applyAlignment="1">
      <alignment horizontal="center"/>
    </xf>
    <xf numFmtId="0" fontId="4" applyFont="1" fillId="0" borderId="20" applyBorder="1" xfId="3" applyProtection="1" applyAlignment="1">
      <alignment horizontal="center"/>
    </xf>
    <xf numFmtId="0" fontId="4" applyFont="1" fillId="0" borderId="21" applyBorder="1" xfId="3" applyProtection="1" applyAlignment="1">
      <alignment horizontal="center"/>
    </xf>
    <xf numFmtId="0" fontId="8" applyFont="1" fillId="8" applyFill="1" borderId="23" applyBorder="1" xfId="3" applyProtection="1" applyAlignment="1">
      <alignment vertical="center"/>
    </xf>
    <xf numFmtId="168" applyNumberFormat="1" fontId="35" applyFont="1" fillId="8" applyFill="1" borderId="0" xfId="3" applyProtection="1" applyAlignment="1">
      <alignment horizontal="right"/>
    </xf>
    <xf numFmtId="0" fontId="8" applyFont="1" fillId="9" applyFill="1" borderId="0" xfId="3" applyProtection="1" applyAlignment="1">
      <alignment horizontal="center"/>
    </xf>
    <xf numFmtId="3" applyNumberFormat="1" fontId="8" applyFont="1" fillId="2" applyFill="1" borderId="0" xfId="3" applyProtection="1" applyAlignment="1">
      <alignment horizontal="center"/>
    </xf>
    <xf numFmtId="0" fontId="45" applyFont="1" fillId="0" borderId="26" applyBorder="1" xfId="0" applyProtection="1" applyAlignment="1">
      <alignment horizontal="center"/>
    </xf>
    <xf numFmtId="0" fontId="45" applyFont="1" fillId="0" borderId="26" applyBorder="1" xfId="0" applyProtection="1" applyAlignment="1">
      <alignment horizontal="center"/>
      <protection locked="0"/>
    </xf>
    <xf numFmtId="0" fontId="45" applyFont="1" fillId="0" borderId="26" applyBorder="1" xfId="0" applyProtection="1" applyAlignment="1">
      <alignment horizontal="center" vertical="center" shrinkToFit="1"/>
    </xf>
    <xf numFmtId="0" fontId="45" applyFont="1" fillId="0" borderId="26" applyBorder="1" xfId="0" applyProtection="1" applyAlignment="1">
      <alignment horizontal="center" shrinkToFit="1"/>
    </xf>
    <xf numFmtId="0" fontId="39" applyFont="1" fillId="0" borderId="21" applyBorder="1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/>
      <protection locked="0"/>
    </xf>
    <xf numFmtId="0" fontId="41" applyFont="1" fillId="2" applyFill="1" borderId="0" xfId="0" applyProtection="1" applyAlignment="1">
      <alignment vertical="center"/>
      <protection locked="0"/>
    </xf>
    <xf numFmtId="2" applyNumberFormat="1" fontId="4" applyFont="1" fillId="0" borderId="28" applyBorder="1" xfId="3" applyProtection="1" applyAlignment="1">
      <alignment horizontal="center" vertical="center"/>
    </xf>
    <xf numFmtId="9" applyNumberFormat="1" fontId="45" applyFont="1" fillId="0" borderId="0" xfId="0" applyProtection="1" applyAlignment="1">
      <alignment horizontal="center" shrinkToFit="1"/>
    </xf>
    <xf numFmtId="1" applyNumberFormat="1" fontId="45" applyFont="1" fillId="0" borderId="0" xfId="0" applyProtection="1" applyAlignment="1">
      <alignment horizontal="center" shrinkToFit="1"/>
    </xf>
    <xf numFmtId="2" applyNumberFormat="1" fontId="45" applyFont="1" fillId="0" borderId="0" xfId="0" applyProtection="1" applyAlignment="1">
      <alignment horizontal="center"/>
    </xf>
    <xf numFmtId="165" applyNumberFormat="1" fontId="37" applyFont="1" fillId="0" borderId="0" xfId="0" applyProtection="1" applyAlignment="1">
      <alignment horizontal="center"/>
    </xf>
    <xf numFmtId="9" applyNumberFormat="1" fontId="45" applyFont="1" fillId="0" borderId="26" applyBorder="1" xfId="4" applyProtection="1" applyAlignment="1">
      <alignment horizontal="center" shrinkToFit="1"/>
    </xf>
    <xf numFmtId="1" applyNumberFormat="1" fontId="45" applyFont="1" fillId="0" borderId="26" applyBorder="1" xfId="0" applyProtection="1" applyAlignment="1">
      <alignment horizontal="center" shrinkToFit="1"/>
    </xf>
    <xf numFmtId="3" applyNumberFormat="1" fontId="45" applyFont="1" fillId="0" borderId="26" applyBorder="1" xfId="0" applyProtection="1" applyAlignment="1">
      <alignment horizontal="center"/>
    </xf>
    <xf numFmtId="2" applyNumberFormat="1" fontId="45" applyFont="1" fillId="0" borderId="26" applyBorder="1" xfId="0" applyProtection="1" applyAlignment="1">
      <alignment horizontal="center"/>
    </xf>
    <xf numFmtId="165" applyNumberFormat="1" fontId="37" applyFont="1" fillId="0" borderId="26" applyBorder="1" xfId="0" applyProtection="1" applyAlignment="1">
      <alignment horizont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21" applyBorder="1" xfId="0" applyProtection="1" applyAlignment="1">
      <alignment horizontal="center"/>
    </xf>
    <xf numFmtId="2" applyNumberFormat="1" fontId="47" applyFont="1" fillId="0" borderId="0" xfId="0" applyProtection="1" applyAlignment="1">
      <alignment horizontal="center"/>
    </xf>
    <xf numFmtId="0" fontId="47" applyFont="1" fillId="0" borderId="0" xfId="0" applyProtection="1"/>
    <xf numFmtId="4" applyNumberFormat="1" fontId="39" applyFont="1" fillId="0" borderId="0" xfId="0" applyProtection="1" applyAlignment="1">
      <alignment horizontal="center"/>
    </xf>
    <xf numFmtId="14" applyNumberFormat="1" fontId="44" applyFont="1" fillId="2" applyFill="1" borderId="0" xfId="0" applyProtection="1" applyAlignment="1">
      <alignment horizontal="center" vertical="center"/>
    </xf>
    <xf numFmtId="0" fontId="37" applyFont="1" fillId="0" borderId="22" applyBorder="1" xfId="0" applyProtection="1" applyAlignment="1">
      <alignment horizontal="center"/>
    </xf>
    <xf numFmtId="0" fontId="4" applyFont="1" fillId="0" borderId="43" applyBorder="1" xfId="3" applyProtection="1" applyAlignment="1">
      <alignment horizontal="center"/>
    </xf>
    <xf numFmtId="0" fontId="48" applyFont="1" fillId="0" borderId="23" applyBorder="1" xfId="0" applyProtection="1" applyAlignment="1">
      <alignment horizontal="center" vertical="center"/>
    </xf>
    <xf numFmtId="171" applyNumberFormat="1" fontId="4" applyFont="1" fillId="0" borderId="28" applyBorder="1" xfId="3" applyProtection="1" applyAlignment="1">
      <alignment horizontal="center"/>
    </xf>
    <xf numFmtId="2" applyNumberFormat="1" fontId="48" applyFont="1" fillId="0" borderId="0" xfId="0" applyProtection="1" applyAlignment="1">
      <alignment horizontal="center" vertical="center"/>
    </xf>
    <xf numFmtId="0" fontId="48" applyFont="1" fillId="0" borderId="0" xfId="0" applyProtection="1" applyAlignment="1">
      <alignment horizontal="center" vertical="center"/>
    </xf>
    <xf numFmtId="0" fontId="45" applyFont="1" fillId="0" borderId="21" applyBorder="1" xfId="0" applyProtection="1" applyAlignment="1">
      <alignment horizontal="center" vertical="center"/>
    </xf>
    <xf numFmtId="14" applyNumberFormat="1" fontId="45" applyFont="1" fillId="0" borderId="21" applyBorder="1" xfId="0" applyProtection="1" applyAlignment="1">
      <alignment horizontal="center"/>
    </xf>
    <xf numFmtId="0" fontId="38" applyFont="1" fillId="0" borderId="0" xfId="0" applyProtection="1" applyAlignment="1">
      <alignment horizontal="center" vertical="center"/>
      <protection locked="0"/>
    </xf>
    <xf numFmtId="2" applyNumberFormat="1" fontId="38" applyFont="1" fillId="0" borderId="0" xfId="0" applyProtection="1" applyAlignment="1">
      <alignment horizontal="center"/>
    </xf>
    <xf numFmtId="0" fontId="41" applyFont="1" fillId="2" applyFill="1" borderId="0" xfId="0" applyProtection="1" applyAlignment="1">
      <alignment horizontal="center" vertical="center"/>
      <protection locked="0"/>
    </xf>
    <xf numFmtId="0" fontId="45" applyFont="1" fillId="0" borderId="21" applyBorder="1" xfId="0" applyProtection="1"/>
    <xf numFmtId="0" fontId="38" applyFont="1" fillId="0" borderId="0" xfId="0" applyProtection="1"/>
    <xf numFmtId="0" fontId="4" applyFont="1" fillId="0" borderId="25" applyBorder="1" xfId="3" applyProtection="1" applyAlignment="1">
      <alignment horizontal="center"/>
    </xf>
    <xf numFmtId="0" fontId="4" applyFont="1" fillId="0" borderId="26" applyBorder="1" xfId="3" applyProtection="1" applyAlignment="1">
      <alignment horizontal="center"/>
    </xf>
    <xf numFmtId="9" applyNumberFormat="1" fontId="45" applyFont="1" fillId="0" borderId="0" xfId="4" applyProtection="1" applyAlignment="1">
      <alignment horizontal="center" shrinkToFit="1"/>
    </xf>
    <xf numFmtId="0" fontId="37" applyFont="1" fillId="0" borderId="26" applyBorder="1" xfId="0" applyProtection="1" applyAlignment="1">
      <alignment horizontal="center"/>
    </xf>
    <xf numFmtId="0" fontId="37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7" applyFont="1" fillId="0" borderId="8" applyBorder="1" xfId="0">
      <protection hidden="1"/>
    </xf>
    <xf numFmtId="0" fontId="37" applyFont="1" fillId="0" borderId="0" xfId="0" applyAlignment="1">
      <alignment horizontal="center" vertical="center"/>
      <protection hidden="1"/>
    </xf>
    <xf numFmtId="0" fontId="37" applyFont="1" fillId="0" borderId="11" applyBorder="1" xfId="0">
      <protection hidden="1"/>
    </xf>
    <xf numFmtId="0" fontId="37" applyFont="1" fillId="0" borderId="15" applyBorder="1" xfId="0" applyAlignment="1">
      <alignment horizontal="center" vertical="center"/>
      <protection hidden="1"/>
    </xf>
    <xf numFmtId="0" fontId="37" applyFont="1" fillId="0" borderId="36" applyBorder="1" xfId="0" applyAlignment="1">
      <alignment horizontal="center" vertical="center"/>
      <protection hidden="1"/>
    </xf>
    <xf numFmtId="0" fontId="37" applyFont="1" fillId="0" borderId="6" applyBorder="1" xfId="0">
      <protection hidden="1"/>
    </xf>
    <xf numFmtId="0" fontId="37" applyFont="1" fillId="0" borderId="17" applyBorder="1" xfId="0" applyAlignment="1">
      <alignment horizontal="center" vertical="center"/>
      <protection hidden="1"/>
    </xf>
    <xf numFmtId="0" fontId="37" applyFont="1" fillId="0" borderId="42" applyBorder="1" xfId="0" applyAlignment="1">
      <alignment horizontal="center" vertical="center"/>
      <protection hidden="1"/>
    </xf>
    <xf numFmtId="0" fontId="37" applyFont="1" fillId="0" borderId="28" applyBorder="1" xfId="0" applyProtection="1"/>
    <xf numFmtId="0" fontId="37" applyFont="1" fillId="0" borderId="18" applyBorder="1" xfId="0" applyAlignment="1">
      <alignment horizontal="center" vertical="center"/>
      <protection hidden="1"/>
    </xf>
    <xf numFmtId="0" fontId="37" applyFont="1" fillId="0" borderId="27" applyBorder="1" xfId="0" applyAlignment="1">
      <alignment horizontal="center" vertical="center"/>
      <protection hidden="1"/>
    </xf>
    <xf numFmtId="0" fontId="37" applyFont="1" fillId="0" borderId="1" applyBorder="1" xfId="0">
      <protection hidden="1"/>
    </xf>
    <xf numFmtId="0" fontId="37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7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7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7" applyFont="1" fillId="0" borderId="14" applyBorder="1" xfId="0" applyAlignment="1">
      <alignment horizontal="center" vertical="center"/>
      <protection hidden="1"/>
    </xf>
    <xf numFmtId="0" fontId="37" applyFont="1" fillId="0" borderId="4" applyBorder="1" xfId="0" applyAlignment="1">
      <alignment horizontal="center" vertical="center"/>
      <protection hidden="1"/>
    </xf>
    <xf numFmtId="0" fontId="42" applyFont="1" fillId="0" borderId="0" xfId="0" applyProtection="1"/>
    <xf numFmtId="0" fontId="0" fillId="0" borderId="24" applyBorder="1" xfId="0" applyProtection="1"/>
    <xf numFmtId="2" applyNumberFormat="1" fontId="37" applyFont="1" fillId="0" borderId="28" applyBorder="1" xfId="0" applyAlignment="1">
      <alignment horizontal="center" vertical="center"/>
      <protection hidden="1"/>
    </xf>
    <xf numFmtId="0" fontId="37" applyFont="1" fillId="0" borderId="28" applyBorder="1" xfId="0" applyAlignment="1">
      <alignment horizontal="center" vertical="center"/>
      <protection hidden="1"/>
    </xf>
    <xf numFmtId="0" fontId="37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7" applyFont="1" fillId="0" borderId="12" applyBorder="1" xfId="0" applyAlignment="1">
      <alignment horizontal="center" vertical="center"/>
      <protection hidden="1"/>
    </xf>
    <xf numFmtId="0" fontId="37" applyFont="1" fillId="0" borderId="12" applyBorder="1" xfId="0" applyAlignment="1">
      <alignment horizontal="center" vertical="center"/>
      <protection hidden="1"/>
    </xf>
    <xf numFmtId="0" fontId="37" applyFont="1" fillId="0" borderId="1" applyBorder="1" xfId="0" applyAlignment="1">
      <alignment horizontal="center" vertical="center"/>
      <protection hidden="1"/>
    </xf>
    <xf numFmtId="0" fontId="37" applyFont="1" fillId="0" borderId="28" applyBorder="1" xfId="0" applyProtection="1" applyAlignment="1">
      <alignment horizontal="center" vertical="center"/>
    </xf>
    <xf numFmtId="0" fontId="37" applyFont="1" fillId="0" borderId="6" applyBorder="1" xfId="0" applyAlignment="1">
      <alignment horizontal="center" vertical="center"/>
      <protection hidden="1"/>
    </xf>
    <xf numFmtId="2" applyNumberFormat="1" fontId="37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1" applyFont="1" fillId="7" applyFill="1" borderId="0" xfId="0" applyProtection="1" applyAlignment="1">
      <alignment horizontal="center" vertical="center" shrinkToFit="1"/>
    </xf>
    <xf numFmtId="0" fontId="45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9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7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8" applyFont="1" fillId="8" applyFill="1" borderId="0" xfId="3" applyProtection="1" applyAlignment="1">
      <alignment vertical="center"/>
    </xf>
    <xf numFmtId="0" fontId="35" applyFont="1" fillId="14" applyFill="1" borderId="0" xfId="3" applyProtection="1" applyAlignment="1">
      <alignment horizontal="center"/>
    </xf>
    <xf numFmtId="165" applyNumberFormat="1" fontId="8" applyFont="1" fillId="0" borderId="0" xfId="3" applyProtection="1" applyAlignment="1">
      <alignment horizontal="center"/>
    </xf>
    <xf numFmtId="165" applyNumberFormat="1" fontId="37" applyFont="1" fillId="0" borderId="0" xfId="3" applyProtection="1" applyAlignment="1">
      <alignment horizontal="center"/>
    </xf>
    <xf numFmtId="0" fontId="37" applyFont="1" fillId="0" borderId="2" applyBorder="1" xfId="0" applyProtection="1" applyAlignment="1">
      <alignment horizontal="center"/>
    </xf>
    <xf numFmtId="165" applyNumberFormat="1" fontId="37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8" applyFont="1" fillId="0" borderId="0" xfId="3" applyProtection="1"/>
    <xf numFmtId="165" applyNumberFormat="1" fontId="4" applyFont="1" fillId="0" borderId="0" xfId="3" applyProtection="1" applyAlignment="1">
      <alignment horizontal="center"/>
    </xf>
    <xf numFmtId="0" fontId="46" applyFont="1" fillId="0" borderId="0" xfId="0" applyProtection="1" applyAlignment="1">
      <alignment horizontal="center" shrinkToFit="1"/>
    </xf>
    <xf numFmtId="0" fontId="44" applyFont="1" fillId="0" borderId="0" xfId="0" applyProtection="1"/>
    <xf numFmtId="4" applyNumberFormat="1" fontId="45" applyFont="1" fillId="7" applyFill="1" borderId="0" xfId="0" applyProtection="1" applyAlignment="1">
      <alignment horizontal="center"/>
    </xf>
    <xf numFmtId="1" applyNumberFormat="1" fontId="45" applyFont="1" fillId="0" borderId="0" xfId="0" applyProtection="1" applyAlignment="1">
      <alignment horizontal="center"/>
    </xf>
    <xf numFmtId="9" applyNumberFormat="1" fontId="45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4" applyNumberFormat="1" fontId="16" applyFont="1" fillId="0" borderId="0" xfId="3" applyProtection="1" applyAlignment="1">
      <alignment horizontal="center"/>
    </xf>
    <xf numFmtId="4" applyNumberFormat="1" fontId="16" applyFont="1" fillId="0" borderId="0" xfId="0" applyProtection="1" applyAlignment="1">
      <alignment horizontal="center"/>
    </xf>
    <xf numFmtId="0" fontId="45" applyFont="1" fillId="15" applyFill="1" borderId="12" applyBorder="1" xfId="0" applyProtection="1" applyAlignment="1">
      <alignment horizontal="center" shrinkToFit="1"/>
    </xf>
    <xf numFmtId="4" applyNumberFormat="1" fontId="45" applyFont="1" fillId="15" applyFill="1" borderId="12" applyBorder="1" xfId="0" applyProtection="1" applyAlignment="1">
      <alignment horizontal="center"/>
    </xf>
    <xf numFmtId="165" applyNumberFormat="1" fontId="45" applyFont="1" fillId="2" applyFill="1" borderId="0" xfId="0" applyProtection="1" applyAlignment="1">
      <alignment horizontal="center" textRotation="90"/>
    </xf>
    <xf numFmtId="4" applyNumberFormat="1" fontId="45" applyFont="1" fillId="0" borderId="0" xfId="0" applyProtection="1" applyAlignment="1">
      <alignment horizontal="center" shrinkToFit="1"/>
    </xf>
    <xf numFmtId="168" applyNumberFormat="1" fontId="45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23" applyBorder="1" xfId="0" applyProtection="1" applyAlignment="1">
      <alignment horizontal="center" vertical="center"/>
    </xf>
    <xf numFmtId="3" applyNumberFormat="1" fontId="58" applyFont="1" fillId="16" applyFill="1" borderId="0" xfId="0" applyProtection="1"/>
    <xf numFmtId="0" fontId="60" applyFont="1" fillId="16" applyFill="1" borderId="46" applyBorder="1" xfId="0" applyProtection="1" applyAlignment="1">
      <alignment vertical="center"/>
    </xf>
    <xf numFmtId="0" fontId="61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2" applyFont="1" fillId="16" applyFill="1" borderId="48" applyBorder="1" xfId="0" applyProtection="1" applyAlignment="1">
      <alignment vertical="center"/>
    </xf>
    <xf numFmtId="0" fontId="61" applyFont="1" fillId="16" applyFill="1" borderId="49" applyBorder="1" xfId="0" applyProtection="1" applyAlignment="1">
      <alignment horizontal="center" vertical="center"/>
    </xf>
    <xf numFmtId="0" fontId="62" applyFont="1" fillId="16" applyFill="1" borderId="50" applyBorder="1" xfId="0" applyProtection="1" applyAlignment="1">
      <alignment vertical="center"/>
    </xf>
    <xf numFmtId="0" fontId="61" applyFont="1" fillId="16" applyFill="1" borderId="51" applyBorder="1" xfId="0" applyProtection="1" applyAlignment="1">
      <alignment horizontal="center" vertical="center"/>
    </xf>
    <xf numFmtId="0" fontId="60" applyFont="1" fillId="16" applyFill="1" borderId="52" applyBorder="1" xfId="0" applyProtection="1" applyAlignment="1">
      <alignment vertical="center"/>
    </xf>
    <xf numFmtId="0" fontId="62" applyFont="1" fillId="16" applyFill="1" borderId="52" applyBorder="1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2" applyFont="1" fillId="16" applyFill="1" borderId="45" applyBorder="1" xfId="0" applyProtection="1" applyAlignment="1">
      <alignment horizontal="center" vertical="center"/>
    </xf>
    <xf numFmtId="0" fontId="57" applyFont="1" fillId="15" applyFill="1" borderId="0" xfId="0" applyProtection="1" applyAlignment="1">
      <alignment vertical="center"/>
    </xf>
    <xf numFmtId="0" fontId="66" applyFont="1" fillId="16" applyFill="1" borderId="0" xfId="0" applyProtection="1" applyAlignment="1">
      <alignment vertical="center"/>
    </xf>
    <xf numFmtId="0" fontId="57" applyFont="1" fillId="16" applyFill="1" borderId="52" applyBorder="1" xfId="0" applyProtection="1" applyAlignment="1">
      <alignment vertical="center"/>
    </xf>
    <xf numFmtId="0" fontId="60" applyFont="1" fillId="16" applyFill="1" borderId="50" applyBorder="1" xfId="0" applyProtection="1" applyAlignment="1">
      <alignment vertical="center"/>
    </xf>
    <xf numFmtId="0" fontId="65" applyFont="1" fillId="16" applyFill="1" borderId="0" xfId="0" applyProtection="1"/>
    <xf numFmtId="0" fontId="67" applyFont="1" fillId="16" applyFill="1" borderId="55" applyBorder="1" xfId="0" applyProtection="1" applyAlignment="1">
      <alignment horizontal="center" vertical="center"/>
    </xf>
    <xf numFmtId="0" fontId="67" applyFont="1" fillId="16" applyFill="1" borderId="56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164" applyNumberFormat="1" fontId="66" applyFont="1" fillId="16" applyFill="1" borderId="58" applyBorder="1" xfId="1" applyProtection="1" applyAlignment="1">
      <alignment horizontal="center" vertical="center"/>
    </xf>
    <xf numFmtId="0" fontId="69" applyFont="1" fillId="16" applyFill="1" borderId="55" applyBorder="1" xfId="0" applyProtection="1" applyAlignment="1">
      <alignment horizontal="center" vertical="center"/>
    </xf>
    <xf numFmtId="0" fontId="67" applyFont="1" fillId="16" applyFill="1" borderId="59" applyBorder="1" xfId="0" applyProtection="1" applyAlignment="1">
      <alignment horizontal="center" vertical="center"/>
    </xf>
    <xf numFmtId="0" fontId="67" applyFont="1" fillId="18" applyFill="1" borderId="60" applyBorder="1" xfId="0" applyProtection="1" applyAlignment="1">
      <alignment horizontal="center" vertical="center"/>
    </xf>
    <xf numFmtId="0" fontId="67" applyFont="1" fillId="18" applyFill="1" borderId="56" applyBorder="1" xfId="0" applyProtection="1" applyAlignment="1">
      <alignment horizontal="center" vertical="center"/>
    </xf>
    <xf numFmtId="0" fontId="70" applyFont="1" fillId="16" applyFill="1" borderId="0" xfId="0" applyProtection="1"/>
    <xf numFmtId="0" fontId="70" applyFont="1" fillId="16" applyFill="1" borderId="61" applyBorder="1" xfId="0" applyProtection="1"/>
    <xf numFmtId="0" fontId="70" applyFont="1" fillId="16" applyFill="1" borderId="56" applyBorder="1" xfId="0" applyProtection="1"/>
    <xf numFmtId="0" fontId="67" applyFont="1" fillId="16" applyFill="1" borderId="57" applyBorder="1" xfId="0" applyProtection="1" applyAlignment="1">
      <alignment horizontal="center" vertical="center"/>
    </xf>
    <xf numFmtId="0" fontId="67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1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7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9" applyFont="1" fillId="16" applyFill="1" borderId="58" applyBorder="1" xfId="0" applyProtection="1" applyAlignment="1">
      <alignment horizontal="center" vertical="center"/>
    </xf>
    <xf numFmtId="0" fontId="72" applyFont="1" fillId="7" applyFill="1" borderId="45" applyBorder="1" xfId="0" applyProtection="1" applyAlignment="1">
      <alignment horizontal="center"/>
    </xf>
    <xf numFmtId="0" fontId="58" applyFont="1" fillId="16" applyFill="1" borderId="0" xfId="0" applyProtection="1"/>
    <xf numFmtId="3" applyNumberFormat="1" fontId="75" applyFont="1" fillId="16" applyFill="1" borderId="0" xfId="0" applyProtection="1"/>
    <xf numFmtId="0" fontId="73" applyFont="1" fillId="16" applyFill="1" borderId="0" xfId="0" applyProtection="1" applyAlignment="1">
      <alignment vertical="center"/>
    </xf>
    <xf numFmtId="0" fontId="67" applyFont="1" fillId="16" applyFill="1" borderId="54" applyBorder="1" xfId="0" applyProtection="1" applyAlignment="1">
      <alignment horizontal="center" vertical="center"/>
    </xf>
    <xf numFmtId="0" fontId="79" applyFont="1" fillId="16" applyFill="1" borderId="0" xfId="0" applyProtection="1"/>
    <xf numFmtId="0" fontId="80" applyFont="1" fillId="0" borderId="45" applyBorder="1" xfId="0" applyProtection="1" applyAlignment="1">
      <alignment horizontal="center" vertical="center"/>
    </xf>
    <xf numFmtId="0" fontId="81" applyFont="1" fillId="0" borderId="45" applyBorder="1" xfId="0" applyProtection="1" applyAlignment="1">
      <alignment horizontal="center" vertical="center" wrapText="1"/>
    </xf>
    <xf numFmtId="0" fontId="80" applyFont="1" fillId="0" borderId="31" applyBorder="1" xfId="0" applyProtection="1" applyAlignment="1">
      <alignment horizontal="center" vertical="center"/>
    </xf>
    <xf numFmtId="0" fontId="82" applyFont="1" fillId="0" borderId="41" applyBorder="1" xfId="0" applyProtection="1" applyAlignment="1">
      <alignment horizontal="center" vertical="center"/>
    </xf>
    <xf numFmtId="0" fontId="82" applyFont="1" fillId="0" borderId="62" applyBorder="1" xfId="0" applyProtection="1" applyAlignment="1">
      <alignment horizontal="center" vertical="center"/>
    </xf>
    <xf numFmtId="0" fontId="82" applyFont="1" fillId="0" borderId="63" applyBorder="1" xfId="0" applyProtection="1" applyAlignment="1">
      <alignment horizontal="center" vertical="center"/>
    </xf>
    <xf numFmtId="0" fontId="56" applyFont="1" fillId="16" applyFill="1" borderId="48" applyBorder="1" xfId="0" applyProtection="1" applyAlignment="1">
      <alignment vertical="center"/>
    </xf>
    <xf numFmtId="1" applyNumberFormat="1" fontId="56" applyFont="1" fillId="16" applyFill="1" borderId="48" applyBorder="1" xfId="0" applyProtection="1" applyAlignment="1">
      <alignment vertical="center"/>
    </xf>
    <xf numFmtId="1" applyNumberFormat="1" fontId="56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3" applyFont="1" fillId="8" applyFill="1" borderId="0" xfId="0" applyProtection="1" applyAlignment="1">
      <alignment vertical="center"/>
    </xf>
    <xf numFmtId="0" fontId="87" applyFont="1" fillId="7" applyFill="1" borderId="45" applyBorder="1" xfId="0" applyProtection="1" applyAlignment="1">
      <alignment horizontal="center" vertical="center"/>
    </xf>
    <xf numFmtId="0" fontId="57" applyFont="1" fillId="8" applyFill="1" borderId="0" xfId="0" applyProtection="1" applyAlignment="1">
      <alignment vertical="center"/>
    </xf>
    <xf numFmtId="0" fontId="56" applyFont="1" fillId="0" borderId="0" xfId="0" applyProtection="1" applyAlignment="1">
      <alignment vertical="center"/>
    </xf>
    <xf numFmtId="3" applyNumberFormat="1" fontId="58" applyFont="1" fillId="0" borderId="0" xfId="0" applyProtection="1" applyAlignment="1">
      <alignment vertical="center"/>
    </xf>
    <xf numFmtId="3" applyNumberFormat="1" fontId="58" applyFont="1" fillId="0" borderId="0" xfId="0" applyProtection="1"/>
    <xf numFmtId="0" fontId="63" applyFont="1" fillId="0" borderId="0" xfId="0" applyProtection="1" applyAlignment="1">
      <alignment vertical="center"/>
    </xf>
    <xf numFmtId="0" fontId="61" applyFont="1" fillId="16" applyFill="1" borderId="68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57" applyFont="1" fillId="0" borderId="0" xfId="0" applyProtection="1" applyAlignment="1">
      <alignment vertical="center"/>
    </xf>
    <xf numFmtId="0" fontId="62" applyFont="1" fillId="0" borderId="0" xfId="0" applyProtection="1" applyAlignment="1">
      <alignment horizontal="center" vertical="center"/>
    </xf>
    <xf numFmtId="1" applyNumberFormat="1" fontId="56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71" applyFont="1" fillId="16" applyFill="1" borderId="56" applyBorder="1" xfId="0" applyProtection="1" applyAlignment="1">
      <alignment vertical="center"/>
    </xf>
    <xf numFmtId="0" fontId="64" applyFont="1" fillId="8" applyFill="1" borderId="0" xfId="0" applyProtection="1" applyAlignment="1">
      <alignment vertical="center"/>
    </xf>
    <xf numFmtId="0" fontId="60" applyFont="1" fillId="16" applyFill="1" borderId="56" applyBorder="1" xfId="0" applyProtection="1" applyAlignment="1">
      <alignment vertical="center"/>
    </xf>
    <xf numFmtId="0" fontId="89" applyFont="1" fillId="0" borderId="45" applyBorder="1" xfId="0" applyProtection="1" applyAlignment="1">
      <alignment horizontal="center" vertical="center"/>
    </xf>
    <xf numFmtId="0" fontId="64" applyFont="1" fillId="0" borderId="0" xfId="0" applyProtection="1" applyAlignment="1">
      <alignment vertical="center"/>
    </xf>
    <xf numFmtId="1" applyNumberFormat="1" fontId="56" applyFont="1" fillId="16" applyFill="1" borderId="56" applyBorder="1" xfId="0" applyProtection="1" applyAlignment="1">
      <alignment horizontal="center" vertical="center"/>
    </xf>
    <xf numFmtId="0" fontId="65" applyFont="1" fillId="16" applyFill="1" borderId="56" applyBorder="1" xfId="0" applyProtection="1"/>
    <xf numFmtId="0" fontId="62" applyFont="1" fillId="16" applyFill="1" borderId="31" applyBorder="1" xfId="0" applyProtection="1" applyAlignment="1">
      <alignment horizontal="center" vertical="center"/>
    </xf>
    <xf numFmtId="0" fontId="54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1" applyFont="1" fillId="0" borderId="21" applyBorder="1" xfId="0" applyProtection="1" applyAlignment="1">
      <alignment horizontal="center"/>
    </xf>
    <xf numFmtId="0" fontId="91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1" applyFont="1" fillId="0" borderId="0" xfId="0" applyProtection="1" applyAlignment="1">
      <alignment horizontal="center"/>
    </xf>
    <xf numFmtId="0" fontId="91" applyFont="1" fillId="0" borderId="24" applyBorder="1" xfId="0" applyProtection="1" applyAlignment="1">
      <alignment horizontal="center"/>
    </xf>
    <xf numFmtId="0" fontId="91" applyFont="1" fillId="0" borderId="25" applyBorder="1" xfId="0" applyProtection="1" applyAlignment="1">
      <alignment horizontal="center"/>
    </xf>
    <xf numFmtId="0" fontId="91" applyFont="1" fillId="0" borderId="26" applyBorder="1" xfId="0" applyProtection="1" applyAlignment="1">
      <alignment horizontal="center"/>
    </xf>
    <xf numFmtId="0" fontId="91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4" applyFont="1" fillId="0" borderId="0" xfId="0" applyProtection="1" applyAlignment="1">
      <alignment horizontal="center"/>
    </xf>
    <xf numFmtId="0" fontId="94" applyFont="1" fillId="0" borderId="0" xfId="0" applyProtection="1" applyAlignment="1">
      <alignment horizontal="center"/>
      <protection locked="0"/>
    </xf>
    <xf numFmtId="0" fontId="94" applyFont="1" fillId="0" borderId="0" xfId="0" applyProtection="1" applyAlignment="1">
      <alignment horizontal="center" vertical="center" shrinkToFit="1"/>
    </xf>
    <xf numFmtId="0" fontId="94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2" applyNumberFormat="1" fontId="94" applyFont="1" fillId="12" applyFill="1" borderId="0" xfId="0" applyProtection="1" applyAlignment="1">
      <alignment horizontal="center"/>
    </xf>
    <xf numFmtId="9" applyNumberFormat="1" fontId="95" applyFont="1" fillId="0" borderId="0" xfId="0" applyProtection="1" applyAlignment="1">
      <alignment horizontal="center"/>
    </xf>
    <xf numFmtId="0" fontId="60" applyFont="1" fillId="16" applyFill="1" borderId="0" xfId="0" applyProtection="1" applyAlignment="1">
      <alignment vertical="center"/>
    </xf>
    <xf numFmtId="0" fontId="62" applyFont="1" fillId="16" applyFill="1" borderId="0" xfId="0" applyProtection="1" applyAlignment="1">
      <alignment vertical="center"/>
    </xf>
    <xf numFmtId="0" fontId="57" applyFont="1" fillId="16" applyFill="1" borderId="22" applyBorder="1" xfId="0" applyProtection="1" applyAlignment="1">
      <alignment horizontal="center" vertical="center"/>
    </xf>
    <xf numFmtId="0" fontId="60" applyFont="1" fillId="16" applyFill="1" borderId="55" applyBorder="1" xfId="0" applyProtection="1" applyAlignment="1">
      <alignment vertical="center"/>
    </xf>
    <xf numFmtId="0" fontId="97" applyFont="1" fillId="16" applyFill="1" borderId="56" applyBorder="1" xfId="0" applyProtection="1" applyAlignment="1">
      <alignment vertical="center"/>
    </xf>
    <xf numFmtId="0" fontId="61" applyFont="1" fillId="16" applyFill="1" borderId="56" applyBorder="1" xfId="0" applyProtection="1" applyAlignment="1">
      <alignment horizontal="center" vertical="center"/>
    </xf>
    <xf numFmtId="0" fontId="61" applyFont="1" fillId="16" applyFill="1" borderId="59" applyBorder="1" xfId="0" applyProtection="1" applyAlignment="1">
      <alignment horizontal="center" vertical="center"/>
    </xf>
    <xf numFmtId="0" fontId="65" applyFont="1" fillId="16" applyFill="1" borderId="59" applyBorder="1" xfId="0" applyProtection="1"/>
    <xf numFmtId="0" fontId="65" applyFont="1" fillId="16" applyFill="1" borderId="58" applyBorder="1" xfId="0" applyProtection="1"/>
    <xf numFmtId="0" fontId="97" applyFont="1" fillId="16" applyFill="1" borderId="70" applyBorder="1" xfId="0" applyProtection="1" applyAlignment="1">
      <alignment vertical="center"/>
    </xf>
    <xf numFmtId="0" fontId="97" applyFont="1" fillId="16" applyFill="1" borderId="68" applyBorder="1" xfId="0" applyProtection="1" applyAlignment="1">
      <alignment vertical="center"/>
    </xf>
    <xf numFmtId="166" applyNumberFormat="1" fontId="37" applyFont="1" fillId="0" borderId="0" xfId="0" applyProtection="1" applyAlignment="1">
      <alignment horizontal="center"/>
    </xf>
    <xf numFmtId="1" applyNumberFormat="1" fontId="37" applyFont="1" fillId="0" borderId="0" xfId="0" applyProtection="1" applyAlignment="1">
      <alignment horizontal="center"/>
    </xf>
    <xf numFmtId="0" fontId="4" applyFont="1" fillId="0" borderId="0" xfId="3" applyProtection="1" applyAlignment="1">
      <alignment horizontal="center" vertical="center"/>
    </xf>
    <xf numFmtId="0" fontId="74" applyFont="1" fillId="16" applyFill="1" borderId="0" xfId="0" applyProtection="1" applyAlignment="1">
      <alignment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4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4" applyFont="1" fillId="0" borderId="0" xfId="3" applyProtection="1" applyAlignment="1">
      <alignment horizontal="center" vertical="center"/>
    </xf>
    <xf numFmtId="0" fontId="3" applyFont="1" fillId="0" borderId="0" xfId="0" applyProtection="1" applyAlignment="1">
      <alignment horizontal="center"/>
    </xf>
    <xf numFmtId="0" fontId="8" applyFont="1" fillId="0" borderId="0" xfId="0" applyAlignment="1">
      <alignment horizontal="center" vertical="center"/>
      <protection hidden="1"/>
    </xf>
    <xf numFmtId="0" fontId="8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4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4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0" fontId="35" applyFont="1" fillId="0" borderId="0" xfId="0" applyProtection="1" applyAlignment="1">
      <alignment horizontal="center"/>
    </xf>
    <xf numFmtId="0" fontId="8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4" applyFont="1" fillId="0" borderId="0" xfId="0" applyProtection="1" applyAlignment="1">
      <alignment horizontal="center"/>
      <protection locked="0"/>
    </xf>
    <xf numFmtId="0" fontId="24" applyFont="1" fillId="0" borderId="0" xfId="0" applyProtection="1" applyAlignment="1">
      <alignment horizontal="center"/>
    </xf>
    <xf numFmtId="0" fontId="24" applyFont="1" fillId="0" borderId="0" xfId="0" applyProtection="1" applyAlignment="1">
      <alignment horizontal="center" shrinkToFit="1"/>
    </xf>
    <xf numFmtId="0" fontId="8" applyFont="1" fillId="0" borderId="0" xfId="0" applyProtection="1" applyAlignment="1">
      <alignment horizontal="center"/>
    </xf>
    <xf numFmtId="2" applyNumberFormat="1" fontId="24" applyFont="1" fillId="12" applyFill="1" borderId="0" xfId="0" applyProtection="1" applyAlignment="1">
      <alignment horizontal="center"/>
    </xf>
    <xf numFmtId="9" applyNumberFormat="1" fontId="8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5" applyFont="1" fillId="0" borderId="20" applyBorder="1" xfId="0" applyProtection="1" applyAlignment="1">
      <alignment horizontal="center"/>
    </xf>
    <xf numFmtId="0" fontId="35" applyFont="1" fillId="0" borderId="23" applyBorder="1" xfId="0" applyProtection="1" applyAlignment="1">
      <alignment horizontal="center"/>
    </xf>
    <xf numFmtId="0" fontId="70" applyFont="1" fillId="16" applyFill="1" borderId="56" applyBorder="1" xfId="0" applyProtection="1" applyAlignment="1">
      <alignment horizontal="center"/>
    </xf>
    <xf numFmtId="0" fontId="45" applyFont="1" fillId="2" applyFill="1" borderId="0" xfId="0" applyProtection="1" applyAlignment="1">
      <alignment horizontal="center"/>
      <protection locked="0"/>
    </xf>
    <xf numFmtId="0" fontId="46" applyFont="1" fillId="2" applyFill="1" borderId="0" xfId="0" applyProtection="1" applyAlignment="1">
      <alignment horizontal="center"/>
      <protection locked="0"/>
    </xf>
    <xf numFmtId="2" applyNumberFormat="1" fontId="8" applyFont="1" fillId="0" borderId="28" applyBorder="1" xfId="3" applyProtection="1" applyAlignment="1">
      <alignment horizontal="center" vertical="center"/>
    </xf>
    <xf numFmtId="3" applyNumberFormat="1" fontId="8" applyFont="1" fillId="0" borderId="28" applyBorder="1" xfId="3" applyProtection="1" applyAlignment="1">
      <alignment horizontal="center" vertical="center"/>
    </xf>
    <xf numFmtId="0" fontId="18" applyFont="1" fillId="8" applyFill="1" borderId="14" applyBorder="1" xfId="3" applyProtection="1" applyAlignment="1">
      <alignment horizontal="center" vertical="center" shrinkToFit="1"/>
    </xf>
    <xf numFmtId="0" fontId="73" applyFont="1" fillId="16" applyFill="1" borderId="0" xfId="0" applyProtection="1" applyAlignment="1">
      <alignment vertical="top"/>
    </xf>
    <xf numFmtId="0" fontId="24" applyFont="1" fillId="0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/>
    </xf>
    <xf numFmtId="0" fontId="24" applyFont="1" fillId="0" borderId="0" xfId="0" applyProtection="1" applyAlignment="1">
      <alignment horizontal="center" vertical="center" wrapText="1"/>
    </xf>
    <xf numFmtId="0" fontId="24" applyFont="1" fillId="8" applyFill="1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 wrapText="1"/>
    </xf>
    <xf numFmtId="0" fontId="36" applyFont="1" fillId="0" borderId="0" xfId="0" applyProtection="1" applyAlignment="1">
      <alignment horizontal="center" vertical="center" wrapText="1"/>
    </xf>
    <xf numFmtId="0" fontId="8" applyFont="1" fillId="0" borderId="0" xfId="0" applyProtection="1" applyAlignment="1">
      <alignment horizontal="center" vertical="center"/>
    </xf>
    <xf numFmtId="165" applyNumberFormat="1" fontId="111" applyFont="1" fillId="21" applyFill="1" borderId="0" xfId="0" applyProtection="1" applyAlignment="1">
      <alignment horizontal="center" vertical="center"/>
    </xf>
    <xf numFmtId="0" fontId="112" applyFont="1" fillId="4" applyFill="1" borderId="0" xfId="0" applyProtection="1" applyAlignment="1">
      <alignment horizontal="center" vertical="center"/>
    </xf>
    <xf numFmtId="0" fontId="113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115" applyFont="1" fillId="3" applyFill="1" borderId="72" applyBorder="1" xfId="0" applyProtection="1" applyAlignment="1">
      <alignment horizontal="center" vertical="center"/>
    </xf>
    <xf numFmtId="0" fontId="64" applyFont="1" fillId="0" borderId="0" xfId="0" applyProtection="1" applyAlignment="1">
      <alignment horizontal="center" vertical="center"/>
    </xf>
    <xf numFmtId="0" fontId="64" applyFont="1" fillId="0" borderId="71" applyBorder="1" xfId="0" applyProtection="1" applyAlignment="1">
      <alignment horizontal="center" vertical="center"/>
    </xf>
    <xf numFmtId="0" fontId="115" applyFont="1" fillId="0" borderId="65" applyBorder="1" xfId="0" applyProtection="1" applyAlignment="1">
      <alignment vertical="center"/>
    </xf>
    <xf numFmtId="0" fontId="34" applyFont="1" fillId="0" borderId="0" xfId="0" applyProtection="1" applyAlignment="1">
      <alignment vertical="center"/>
    </xf>
    <xf numFmtId="0" fontId="34" applyFont="1" fillId="0" borderId="0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 wrapText="1"/>
    </xf>
    <xf numFmtId="0" fontId="41" applyFont="1" fillId="0" borderId="0" xfId="0" applyProtection="1" applyAlignment="1">
      <alignment horizontal="center" vertical="center" shrinkToFit="1"/>
    </xf>
    <xf numFmtId="0" fontId="116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 shrinkToFit="1"/>
    </xf>
    <xf numFmtId="0" fontId="41" applyFont="1" fillId="0" borderId="7" applyBorder="1" xfId="0" applyProtection="1" applyAlignment="1">
      <alignment horizontal="center" vertical="center"/>
    </xf>
    <xf numFmtId="0" fontId="41" applyFont="1" fillId="0" borderId="13" applyBorder="1" xfId="0" applyProtection="1" applyAlignment="1">
      <alignment horizontal="center" vertical="center" shrinkToFit="1"/>
    </xf>
    <xf numFmtId="0" fontId="41" applyFont="1" fillId="0" borderId="73" applyBorder="1" xfId="0" applyProtection="1" applyAlignment="1">
      <alignment horizontal="center" vertical="center"/>
    </xf>
    <xf numFmtId="0" fontId="34" applyFont="1" fillId="0" borderId="74" applyBorder="1" xfId="0" applyProtection="1" applyAlignment="1">
      <alignment horizontal="center" vertical="center"/>
    </xf>
    <xf numFmtId="0" fontId="115" applyFont="1" fillId="0" borderId="72" applyBorder="1" xfId="0" applyProtection="1" applyAlignment="1">
      <alignment vertical="center"/>
    </xf>
    <xf numFmtId="0" fontId="117" applyFont="1" fillId="0" borderId="0" xfId="0" applyProtection="1"/>
    <xf numFmtId="0" fontId="4" applyFont="1" fillId="0" borderId="7" applyBorder="1" xfId="3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1" applyNumberFormat="1" fontId="35" applyFont="1" fillId="0" borderId="0" xfId="0" applyProtection="1" applyAlignment="1">
      <alignment horizontal="center" vertical="center"/>
    </xf>
    <xf numFmtId="0" fontId="2" applyFont="1" fillId="0" borderId="0" xfId="0" applyProtection="1"/>
    <xf numFmtId="1" applyNumberFormat="1" fontId="0" fillId="0" borderId="0" xfId="0" applyProtection="1"/>
    <xf numFmtId="165" applyNumberFormat="1" fontId="0" fillId="0" borderId="0" xfId="0" applyProtection="1"/>
    <xf numFmtId="0" fontId="2" applyFont="1" fillId="0" borderId="0" xfId="0" applyProtection="1" applyAlignment="1">
      <alignment horizontal="center" vertical="center"/>
    </xf>
    <xf numFmtId="0" fontId="118" applyFont="1" fillId="0" borderId="0" xfId="0" applyProtection="1"/>
    <xf numFmtId="0" fontId="0" fillId="22" applyFill="1" borderId="0" xfId="0" applyProtection="1" applyAlignment="1">
      <alignment horizontal="center"/>
    </xf>
    <xf numFmtId="0" fontId="0" fillId="22" applyFill="1" borderId="0" xfId="0" applyProtection="1"/>
    <xf numFmtId="3" applyNumberFormat="1" fontId="75" applyFont="1" fillId="22" applyFill="1" borderId="0" xfId="0" applyProtection="1"/>
    <xf numFmtId="0" fontId="2" applyFont="1" fillId="0" borderId="0" xfId="0" applyProtection="1" applyAlignment="1">
      <alignment horizontal="center"/>
    </xf>
    <xf numFmtId="0" fontId="0" fillId="23" applyFill="1" borderId="0" xfId="0" applyProtection="1" applyAlignment="1">
      <alignment horizontal="center"/>
    </xf>
    <xf numFmtId="0" fontId="0" fillId="23" applyFill="1" borderId="0" xfId="0" applyProtection="1"/>
    <xf numFmtId="3" applyNumberFormat="1" fontId="75" applyFont="1" fillId="23" applyFill="1" borderId="0" xfId="0" applyProtection="1"/>
    <xf numFmtId="0" fontId="0" fillId="0" borderId="0" xfId="0" applyProtection="1" applyAlignment="1">
      <alignment horizontal="center" vertical="center" wrapText="1"/>
    </xf>
    <xf numFmtId="43" applyNumberFormat="1" fontId="0" fillId="0" borderId="0" xfId="1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0" fillId="24" applyFill="1" borderId="0" xfId="0" applyProtection="1" applyAlignment="1">
      <alignment vertical="center"/>
    </xf>
    <xf numFmtId="165" applyNumberFormat="1" fontId="0" fillId="0" borderId="0" xfId="0" applyProtection="1" applyAlignment="1">
      <alignment horizontal="center" vertical="center"/>
    </xf>
    <xf numFmtId="43" applyNumberFormat="1" fontId="0" fillId="0" borderId="0" xfId="0" applyProtection="1" applyAlignment="1">
      <alignment horizontal="center" vertical="center"/>
    </xf>
    <xf numFmtId="0" fontId="42" applyFont="1" fillId="0" borderId="0" xfId="0" applyProtection="1" applyAlignment="1">
      <alignment horizontal="center" vertical="center" wrapText="1"/>
    </xf>
    <xf numFmtId="0" fontId="122" applyFont="1" fillId="0" borderId="0" xfId="3" applyProtection="1" applyAlignment="1">
      <alignment horizontal="center" vertical="center" wrapText="1"/>
    </xf>
    <xf numFmtId="171" applyNumberFormat="1" fontId="4" applyFont="1" fillId="0" borderId="28" applyBorder="1" xfId="3" applyProtection="1" applyAlignment="1">
      <alignment horizontal="center" vertical="center"/>
    </xf>
    <xf numFmtId="1" applyNumberFormat="1" fontId="0" fillId="0" borderId="0" xfId="0" applyProtection="1" applyAlignment="1">
      <alignment horizontal="center" vertical="center"/>
    </xf>
    <xf numFmtId="0" fontId="4" applyFont="1" fillId="24" applyFill="1" borderId="0" xfId="3" applyProtection="1" applyAlignment="1">
      <alignment horizontal="center" vertical="center"/>
    </xf>
    <xf numFmtId="0" fontId="128" applyFont="1" fillId="0" borderId="5" applyBorder="1" xfId="3" applyProtection="1" applyAlignment="1">
      <alignment horizontal="center" vertical="center"/>
    </xf>
    <xf numFmtId="1" applyNumberFormat="1" fontId="129" applyFont="1" fillId="0" borderId="28" applyBorder="1" xfId="3" applyProtection="1" applyAlignment="1">
      <alignment horizontal="center" vertical="center"/>
    </xf>
    <xf numFmtId="0" fontId="130" applyFont="1" fillId="0" borderId="28" applyBorder="1" xfId="3" applyProtection="1" applyAlignment="1">
      <alignment horizontal="center" vertical="center"/>
    </xf>
    <xf numFmtId="0" fontId="129" applyFont="1" fillId="0" borderId="28" applyBorder="1" xfId="3" applyProtection="1" applyAlignment="1">
      <alignment horizontal="center" vertical="center"/>
    </xf>
    <xf numFmtId="0" fontId="128" applyFont="1" fillId="0" borderId="10" applyBorder="1" xfId="3" applyProtection="1" applyAlignment="1">
      <alignment horizontal="center" vertical="center"/>
    </xf>
    <xf numFmtId="0" fontId="131" applyFont="1" fillId="0" borderId="28" applyBorder="1" xfId="3" applyProtection="1" applyAlignment="1">
      <alignment horizontal="center" vertical="center"/>
    </xf>
    <xf numFmtId="2" applyNumberFormat="1" fontId="132" applyFont="1" fillId="0" borderId="23" applyBorder="1" xfId="3" applyProtection="1" applyAlignment="1">
      <alignment horizontal="center" vertical="center" shrinkToFit="1"/>
    </xf>
    <xf numFmtId="0" fontId="133" applyFont="1" fillId="0" borderId="10" applyBorder="1" xfId="3" applyProtection="1" applyAlignment="1">
      <alignment horizontal="center" vertical="center"/>
    </xf>
    <xf numFmtId="0" fontId="134" applyFont="1" fillId="0" borderId="28" applyBorder="1" xfId="3" applyProtection="1" applyAlignment="1">
      <alignment horizontal="center" vertical="center"/>
    </xf>
    <xf numFmtId="0" fontId="131" applyFont="1" fillId="0" borderId="9" applyBorder="1" xfId="3" applyProtection="1" applyAlignment="1">
      <alignment horizontal="center" vertical="center"/>
    </xf>
    <xf numFmtId="2" applyNumberFormat="1" fontId="132" applyFont="1" fillId="0" borderId="0" xfId="3" applyProtection="1" applyAlignment="1">
      <alignment horizontal="center" vertical="center" shrinkToFit="1"/>
    </xf>
    <xf numFmtId="0" fontId="135" applyFont="1" fillId="0" borderId="0" xfId="3" applyProtection="1" applyAlignment="1">
      <alignment horizontal="center" vertical="center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4" applyNumberFormat="1" fontId="132" applyFont="1" fillId="0" borderId="0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31" applyFont="1" fillId="0" borderId="0" xfId="3" applyProtection="1" applyAlignment="1">
      <alignment horizontal="center" vertical="center" shrinkToFit="1"/>
    </xf>
    <xf numFmtId="0" fontId="132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 shrinkToFit="1"/>
    </xf>
    <xf numFmtId="165" applyNumberFormat="1" fontId="137" applyFont="1" fillId="0" borderId="0" xfId="3" applyProtection="1" applyAlignment="1">
      <alignment horizontal="center" vertical="center" shrinkToFit="1"/>
    </xf>
    <xf numFmtId="2" applyNumberFormat="1" fontId="100" applyFont="1" fillId="0" borderId="0" xfId="3" applyProtection="1" applyAlignment="1">
      <alignment horizontal="center" vertical="center"/>
    </xf>
    <xf numFmtId="3" applyNumberFormat="1" fontId="100" applyFont="1" fillId="0" borderId="0" xfId="3" applyProtection="1" applyAlignment="1">
      <alignment horizontal="center" vertical="center"/>
    </xf>
    <xf numFmtId="0" fontId="131" applyFont="1" fillId="0" borderId="0" xfId="0" applyProtection="1" applyAlignment="1">
      <alignment horizontal="center" vertical="center" shrinkToFit="1"/>
    </xf>
    <xf numFmtId="0" fontId="12" applyFont="1" fillId="0" borderId="0" xfId="0" applyProtection="1" applyAlignment="1">
      <alignment horizontal="center" vertical="center" shrinkToFit="1"/>
    </xf>
    <xf numFmtId="0" fontId="23" applyFont="1" fillId="0" borderId="0" xfId="0" applyProtection="1" applyAlignment="1">
      <alignment horizontal="center" vertical="center" shrinkToFit="1"/>
    </xf>
    <xf numFmtId="3" applyNumberFormat="1" fontId="8" applyFont="1" fillId="0" borderId="0" xfId="0" applyProtection="1" applyAlignment="1">
      <alignment horizontal="center" vertical="center"/>
    </xf>
    <xf numFmtId="0" fontId="138" applyFont="1" fillId="0" borderId="0" xfId="3" applyProtection="1" applyAlignment="1">
      <alignment horizontal="center" vertical="center"/>
    </xf>
    <xf numFmtId="0" fontId="134" applyFont="1" fillId="0" borderId="75" applyBorder="1" xfId="3" applyProtection="1" applyAlignment="1">
      <alignment horizontal="center" vertical="center"/>
    </xf>
    <xf numFmtId="0" fontId="134" applyFont="1" fillId="0" borderId="0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39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34" applyFont="1" fillId="0" borderId="0" xfId="0" applyProtection="1" applyAlignment="1">
      <alignment horizontal="center" vertical="center" shrinkToFit="1"/>
    </xf>
    <xf numFmtId="0" fontId="4" applyFont="1" fillId="0" borderId="3" applyBorder="1" xfId="3" applyProtection="1" applyAlignment="1">
      <alignment horizontal="center" vertical="center"/>
    </xf>
    <xf numFmtId="0" fontId="100" applyFont="1" fillId="0" borderId="28" applyBorder="1" xfId="3" applyProtection="1" applyAlignment="1">
      <alignment horizontal="center" vertical="center"/>
    </xf>
    <xf numFmtId="0" fontId="102" applyFont="1" fillId="0" borderId="10" applyBorder="1" xfId="3" applyProtection="1" applyAlignment="1">
      <alignment horizontal="center" vertical="center"/>
    </xf>
    <xf numFmtId="2" applyNumberFormat="1" fontId="102" applyFont="1" fillId="0" borderId="10" applyBorder="1" xfId="3" applyProtection="1" applyAlignment="1">
      <alignment horizontal="center" vertical="center"/>
    </xf>
    <xf numFmtId="0" fontId="143" applyFont="1" fillId="0" borderId="10" applyBorder="1" xfId="3" applyProtection="1" applyAlignment="1">
      <alignment horizontal="center" vertical="center"/>
    </xf>
    <xf numFmtId="0" fontId="143" applyFont="1" fillId="0" borderId="11" applyBorder="1" xfId="3" applyProtection="1" applyAlignment="1">
      <alignment horizontal="center" vertical="center"/>
    </xf>
    <xf numFmtId="0" fontId="143" applyFont="1" fillId="0" borderId="0" xfId="3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0" fontId="102" applyFont="1" fillId="0" borderId="3" applyBorder="1" xfId="3" applyProtection="1" applyAlignment="1">
      <alignment horizontal="center" vertical="center"/>
    </xf>
    <xf numFmtId="0" fontId="102" applyFont="1" fillId="0" borderId="1" applyBorder="1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4" applyFont="1" fillId="25" applyFill="1" borderId="0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5" applyBorder="1" xfId="3" applyProtection="1" applyAlignment="1">
      <alignment horizontal="center" vertical="center"/>
    </xf>
    <xf numFmtId="3" applyNumberFormat="1" fontId="135" applyFont="1" fillId="25" applyFill="1" borderId="14" applyBorder="1" xfId="3" applyProtection="1" applyAlignment="1">
      <alignment horizontal="center" vertical="center"/>
      <protection locked="0"/>
    </xf>
    <xf numFmtId="0" fontId="135" applyFont="1" fillId="25" applyFill="1" borderId="14" applyBorder="1" xfId="3" applyProtection="1" applyAlignment="1">
      <alignment horizontal="center" vertical="center"/>
    </xf>
    <xf numFmtId="3" applyNumberFormat="1" fontId="135" applyFont="1" fillId="25" applyFill="1" borderId="8" applyBorder="1" xfId="3" applyProtection="1" applyAlignment="1">
      <alignment horizontal="center" vertical="center"/>
      <protection locked="0"/>
    </xf>
    <xf numFmtId="0" fontId="4" applyFont="1" fillId="25" applyFill="1" borderId="11" applyBorder="1" xfId="3" applyProtection="1" applyAlignment="1">
      <alignment horizontal="center" vertical="center"/>
    </xf>
    <xf numFmtId="0" fontId="4" applyFont="1" fillId="25" applyFill="1" borderId="28" applyBorder="1" xfId="3" applyProtection="1" applyAlignment="1">
      <alignment horizontal="center" vertical="center"/>
    </xf>
    <xf numFmtId="0" fontId="100" applyFont="1" fillId="0" borderId="12" applyBorder="1" xfId="3" applyProtection="1" applyAlignment="1">
      <alignment horizontal="center" vertical="center"/>
    </xf>
    <xf numFmtId="0" fontId="4" applyFont="1" fillId="21" applyFill="1" borderId="76" applyBorder="1" xfId="3" applyProtection="1" applyAlignment="1">
      <alignment horizontal="center" vertical="center"/>
    </xf>
    <xf numFmtId="0" fontId="4" applyFont="1" fillId="21" applyFill="1" borderId="77" applyBorder="1" xfId="3" applyProtection="1" applyAlignment="1">
      <alignment horizontal="center" vertical="center"/>
    </xf>
    <xf numFmtId="0" fontId="4" applyFont="1" fillId="21" applyFill="1" borderId="75" applyBorder="1" xfId="3" applyProtection="1" applyAlignment="1">
      <alignment horizontal="center" vertical="center"/>
    </xf>
    <xf numFmtId="0" fontId="4" applyFont="1" fillId="21" applyFill="1" borderId="13" applyBorder="1" xfId="3" applyProtection="1" applyAlignment="1">
      <alignment horizontal="center" vertical="center"/>
    </xf>
    <xf numFmtId="0" fontId="4" applyFont="1" fillId="21" applyFill="1" borderId="3" applyBorder="1" xfId="3" applyProtection="1" applyAlignment="1">
      <alignment horizontal="center" vertical="center"/>
    </xf>
    <xf numFmtId="0" fontId="4" applyFont="1" fillId="21" applyFill="1" borderId="0" xfId="3" applyProtection="1" applyAlignment="1">
      <alignment horizontal="center" vertical="center"/>
    </xf>
    <xf numFmtId="0" fontId="4" applyFont="1" fillId="21" applyFill="1" borderId="7" applyBorder="1" xfId="3" applyProtection="1" applyAlignment="1">
      <alignment horizontal="center" vertical="center"/>
    </xf>
    <xf numFmtId="0" fontId="4" applyFont="1" fillId="21" applyFill="1" borderId="79" applyBorder="1" xfId="3" applyProtection="1" applyAlignment="1">
      <alignment horizontal="center" vertical="center"/>
    </xf>
    <xf numFmtId="0" fontId="4" applyFont="1" fillId="21" applyFill="1" borderId="14" applyBorder="1" xfId="3" applyProtection="1" applyAlignment="1">
      <alignment horizontal="center" vertical="center"/>
    </xf>
    <xf numFmtId="0" fontId="4" applyFont="1" fillId="21" applyFill="1" borderId="4" applyBorder="1" xfId="3" applyProtection="1" applyAlignment="1">
      <alignment horizontal="center" vertical="center"/>
    </xf>
    <xf numFmtId="0" fontId="4" applyFont="1" fillId="21" applyFill="1" borderId="5" applyBorder="1" xfId="3" applyProtection="1" applyAlignment="1">
      <alignment horizontal="center" vertical="center"/>
    </xf>
    <xf numFmtId="0" fontId="4" applyFont="1" fillId="21" applyFill="1" borderId="8" applyBorder="1" xfId="3" applyProtection="1" applyAlignment="1">
      <alignment horizontal="center" vertical="center"/>
    </xf>
    <xf numFmtId="0" fontId="4" applyFont="1" fillId="21" applyFill="1" borderId="23" applyBorder="1" xfId="3" applyProtection="1" applyAlignment="1">
      <alignment horizontal="center" vertical="center"/>
    </xf>
    <xf numFmtId="0" fontId="4" applyFont="1" fillId="21" applyFill="1" borderId="15" applyBorder="1" xfId="3" applyProtection="1" applyAlignment="1">
      <alignment horizontal="center" vertical="center"/>
    </xf>
    <xf numFmtId="0" fontId="4" applyFont="1" fillId="21" applyFill="1" borderId="16" applyBorder="1" xfId="3" applyProtection="1" applyAlignment="1">
      <alignment horizontal="center" vertical="center"/>
    </xf>
    <xf numFmtId="0" fontId="4" applyFont="1" fillId="21" applyFill="1" borderId="6" applyBorder="1" xfId="3" applyProtection="1" applyAlignment="1">
      <alignment horizontal="center" vertical="center"/>
    </xf>
    <xf numFmtId="0" fontId="4" applyFont="1" fillId="21" applyFill="1" borderId="17" applyBorder="1" xfId="3" applyProtection="1" applyAlignment="1">
      <alignment horizontal="center" vertical="center"/>
    </xf>
    <xf numFmtId="3" applyNumberFormat="1" fontId="4" applyFont="1" fillId="21" applyFill="1" borderId="9" applyBorder="1" xfId="3" applyProtection="1" applyAlignment="1">
      <alignment horizontal="center" vertical="center"/>
    </xf>
    <xf numFmtId="0" fontId="4" applyFont="1" fillId="21" applyFill="1" borderId="12" applyBorder="1" xfId="3" applyProtection="1" applyAlignment="1">
      <alignment horizontal="center" vertical="center"/>
    </xf>
    <xf numFmtId="0" fontId="4" applyFont="1" fillId="21" applyFill="1" borderId="23" applyBorder="1" xfId="3" applyProtection="1" applyAlignment="1">
      <alignment horizontal="center" vertical="center"/>
      <protection locked="0"/>
    </xf>
    <xf numFmtId="0" fontId="4" applyFont="1" fillId="21" applyFill="1" borderId="0" xfId="3" applyProtection="1" applyAlignment="1">
      <alignment horizontal="center" vertical="center"/>
      <protection locked="0"/>
    </xf>
    <xf numFmtId="0" fontId="4" applyFont="1" fillId="21" applyFill="1" borderId="24" applyBorder="1" xfId="3" applyProtection="1" applyAlignment="1">
      <alignment horizontal="center" vertical="center"/>
      <protection locked="0"/>
    </xf>
    <xf numFmtId="0" fontId="4" applyFont="1" fillId="21" applyFill="1" borderId="18" applyBorder="1" xfId="3" applyProtection="1" applyAlignment="1">
      <alignment horizontal="center" vertical="center"/>
    </xf>
    <xf numFmtId="0" fontId="4" applyFont="1" fillId="21" applyFill="1" borderId="19" applyBorder="1" xfId="3" applyProtection="1" applyAlignment="1">
      <alignment horizontal="center" vertical="center"/>
    </xf>
    <xf numFmtId="0" fontId="4" applyFont="1" fillId="21" applyFill="1" borderId="25" applyBorder="1" xfId="3" applyProtection="1" applyAlignment="1">
      <alignment horizontal="center" vertical="center"/>
      <protection locked="0"/>
    </xf>
    <xf numFmtId="0" fontId="4" applyFont="1" fillId="21" applyFill="1" borderId="26" applyBorder="1" xfId="3" applyProtection="1" applyAlignment="1">
      <alignment horizontal="center" vertical="center"/>
      <protection locked="0"/>
    </xf>
    <xf numFmtId="0" fontId="4" applyFont="1" fillId="21" applyFill="1" borderId="27" applyBorder="1" xfId="3" applyProtection="1" applyAlignment="1">
      <alignment horizontal="center" vertical="center"/>
      <protection locked="0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16" applyNumberFormat="1" fontId="4" applyFont="1" fillId="21" applyFill="1" borderId="0" xfId="3" applyProtection="1" applyAlignment="1">
      <alignment horizontal="center" vertical="center"/>
      <protection locked="0"/>
    </xf>
    <xf numFmtId="1" applyNumberFormat="1" fontId="4" applyFont="1" fillId="21" applyFill="1" borderId="0" xfId="3" applyProtection="1" applyAlignment="1">
      <alignment horizontal="center" vertical="center"/>
      <protection locked="0"/>
    </xf>
    <xf numFmtId="0" fontId="148" applyFont="1" fillId="21" applyFill="1" borderId="24" applyBorder="1" xfId="3" applyProtection="1" applyAlignment="1">
      <alignment horizontal="center" vertical="center"/>
      <protection locked="0"/>
    </xf>
    <xf numFmtId="1" applyNumberFormat="1" fontId="147" applyFont="1" fillId="21" applyFill="1" borderId="0" xfId="3" applyProtection="1" applyAlignment="1">
      <alignment horizontal="center" vertical="center"/>
      <protection locked="0"/>
    </xf>
    <xf numFmtId="1" applyNumberFormat="1" fontId="147" applyFont="1" fillId="21" applyFill="1" borderId="26" applyBorder="1" xfId="3" applyProtection="1" applyAlignment="1">
      <alignment horizontal="center" vertical="center"/>
      <protection locked="0"/>
    </xf>
    <xf numFmtId="1" applyNumberFormat="1" fontId="4" applyFont="1" fillId="21" applyFill="1" borderId="26" applyBorder="1" xfId="3" applyProtection="1" applyAlignment="1">
      <alignment horizontal="center" vertical="center"/>
      <protection locked="0"/>
    </xf>
    <xf numFmtId="0" fontId="100" applyFont="1" fillId="0" borderId="13" applyBorder="1" xfId="3" applyProtection="1" applyAlignment="1">
      <alignment horizontal="center" vertical="center"/>
    </xf>
    <xf numFmtId="0" fontId="4" applyFont="1" fillId="26" applyFill="1" borderId="21" applyBorder="1" xfId="3" applyProtection="1" applyAlignment="1">
      <alignment horizontal="center" vertical="center"/>
    </xf>
    <xf numFmtId="0" fontId="4" applyFont="1" fillId="26" applyFill="1" borderId="78" applyBorder="1" xfId="3" applyProtection="1" applyAlignment="1">
      <alignment horizontal="center" vertical="center"/>
    </xf>
    <xf numFmtId="0" fontId="4" applyFont="1" fillId="26" applyFill="1" borderId="0" xfId="3" applyProtection="1" applyAlignment="1">
      <alignment horizontal="center" vertical="center"/>
    </xf>
    <xf numFmtId="3" applyNumberFormat="1" fontId="4" applyFont="1" fillId="26" applyFill="1" borderId="0" xfId="3" applyProtection="1" applyAlignment="1">
      <alignment horizontal="center" vertical="center"/>
    </xf>
    <xf numFmtId="43" applyNumberFormat="1" fontId="4" applyFont="1" fillId="26" applyFill="1" borderId="0" xfId="3" applyProtection="1" applyAlignment="1">
      <alignment horizontal="center" vertical="center"/>
    </xf>
    <xf numFmtId="3" applyNumberFormat="1" fontId="4" applyFont="1" fillId="26" applyFill="1" borderId="7" applyBorder="1" xfId="3" applyProtection="1" applyAlignment="1">
      <alignment horizontal="center" vertical="center"/>
    </xf>
    <xf numFmtId="0" fontId="4" applyFont="1" fillId="26" applyFill="1" borderId="7" applyBorder="1" xfId="3" applyProtection="1" applyAlignment="1">
      <alignment horizontal="center" vertical="center"/>
    </xf>
    <xf numFmtId="0" fontId="4" applyFont="1" fillId="26" applyFill="1" borderId="5" applyBorder="1" xfId="3" applyProtection="1" applyAlignment="1">
      <alignment horizontal="center" vertical="center"/>
    </xf>
    <xf numFmtId="0" fontId="4" applyFont="1" fillId="26" applyFill="1" borderId="8" applyBorder="1" xfId="3" applyProtection="1" applyAlignment="1">
      <alignment horizontal="center" vertical="center"/>
    </xf>
    <xf numFmtId="0" fontId="4" applyFont="1" fillId="26" applyFill="1" borderId="23" applyBorder="1" xfId="3" applyProtection="1" applyAlignment="1">
      <alignment horizontal="center" vertical="center"/>
    </xf>
    <xf numFmtId="0" fontId="4" applyFont="1" fillId="26" applyFill="1" borderId="2" applyBorder="1" xfId="3" applyProtection="1" applyAlignment="1">
      <alignment horizontal="center" vertical="center"/>
    </xf>
    <xf numFmtId="0" fontId="4" applyFont="1" fillId="26" applyFill="1" borderId="6" applyBorder="1" xfId="3" applyProtection="1" applyAlignment="1">
      <alignment horizontal="center" vertical="center"/>
    </xf>
    <xf numFmtId="0" fontId="4" applyFont="1" fillId="26" applyFill="1" borderId="24" applyBorder="1" xfId="3" applyProtection="1" applyAlignment="1">
      <alignment horizontal="center" vertical="center"/>
    </xf>
    <xf numFmtId="0" fontId="4" applyFont="1" fillId="26" applyFill="1" borderId="26" applyBorder="1" xfId="3" applyProtection="1" applyAlignment="1">
      <alignment horizontal="center" vertical="center"/>
    </xf>
    <xf numFmtId="0" fontId="4" applyFont="1" fillId="26" applyFill="1" borderId="82" applyBorder="1" xfId="3" applyProtection="1" applyAlignment="1">
      <alignment horizontal="center" vertical="center"/>
    </xf>
    <xf numFmtId="0" fontId="100" applyFont="1" fillId="0" borderId="14" applyBorder="1" xfId="3" applyProtection="1" applyAlignment="1">
      <alignment horizontal="center" vertical="center"/>
    </xf>
    <xf numFmtId="0" fontId="4" applyFont="1" fillId="27" applyFill="1" borderId="20" applyBorder="1" xfId="3" applyProtection="1" applyAlignment="1">
      <alignment horizontal="center" vertical="center"/>
    </xf>
    <xf numFmtId="0" fontId="4" applyFont="1" fillId="27" applyFill="1" borderId="21" applyBorder="1" xfId="3" applyProtection="1" applyAlignment="1">
      <alignment horizontal="center" vertical="center"/>
    </xf>
    <xf numFmtId="0" fontId="4" applyFont="1" fillId="27" applyFill="1" borderId="22" applyBorder="1" xfId="3" applyProtection="1" applyAlignment="1">
      <alignment horizontal="center" vertical="center"/>
    </xf>
    <xf numFmtId="0" fontId="100" applyFont="1" fillId="0" borderId="11" applyBorder="1" xfId="3" applyProtection="1" applyAlignment="1">
      <alignment horizontal="center" vertical="center"/>
    </xf>
    <xf numFmtId="0" fontId="4" applyFont="1" fillId="27" applyFill="1" borderId="23" applyBorder="1" xfId="3" applyProtection="1" applyAlignment="1">
      <alignment horizontal="center" vertical="center"/>
    </xf>
    <xf numFmtId="0" fontId="4" applyFont="1" fillId="27" applyFill="1" borderId="0" xfId="3" applyProtection="1" applyAlignment="1">
      <alignment horizontal="center" vertical="center"/>
    </xf>
    <xf numFmtId="0" fontId="4" applyFont="1" fillId="27" applyFill="1" borderId="24" applyBorder="1" xfId="3" applyProtection="1" applyAlignment="1">
      <alignment horizontal="center" vertical="center"/>
    </xf>
    <xf numFmtId="0" fontId="4" applyFont="1" fillId="27" applyFill="1" borderId="0" xfId="3" applyProtection="1" applyAlignment="1">
      <alignment horizontal="center" vertical="center"/>
      <protection locked="0"/>
    </xf>
    <xf numFmtId="3" applyNumberFormat="1" fontId="4" applyFont="1" fillId="27" applyFill="1" borderId="0" xfId="3" applyProtection="1" applyAlignment="1">
      <alignment horizontal="center" vertical="center"/>
    </xf>
    <xf numFmtId="0" fontId="4" applyFont="1" fillId="27" applyFill="1" borderId="5" applyBorder="1" xfId="3" applyProtection="1" applyAlignment="1">
      <alignment horizontal="center" vertical="center"/>
      <protection locked="0"/>
    </xf>
    <xf numFmtId="0" fontId="4" applyFont="1" fillId="27" applyFill="1" borderId="83" applyBorder="1" xfId="3" applyProtection="1" applyAlignment="1">
      <alignment horizontal="center" vertical="center"/>
    </xf>
    <xf numFmtId="0" fontId="4" applyFont="1" fillId="27" applyFill="1" borderId="10" applyBorder="1" xfId="3" applyProtection="1" applyAlignment="1">
      <alignment horizontal="center" vertical="center"/>
    </xf>
    <xf numFmtId="0" fontId="4" applyFont="1" fillId="27" applyFill="1" borderId="11" applyBorder="1" xfId="3" applyProtection="1" applyAlignment="1">
      <alignment horizontal="center" vertical="center"/>
    </xf>
    <xf numFmtId="0" fontId="4" applyFont="1" fillId="27" applyFill="1" borderId="25" applyBorder="1" xfId="3" applyProtection="1" applyAlignment="1">
      <alignment horizontal="center" vertical="center"/>
    </xf>
    <xf numFmtId="0" fontId="4" applyFont="1" fillId="27" applyFill="1" borderId="26" applyBorder="1" xfId="3" applyProtection="1" applyAlignment="1">
      <alignment horizontal="center" vertical="center"/>
    </xf>
    <xf numFmtId="0" fontId="4" applyFont="1" fillId="27" applyFill="1" borderId="26" applyBorder="1" xfId="3" applyProtection="1" applyAlignment="1">
      <alignment horizontal="center" vertical="center"/>
      <protection locked="0"/>
    </xf>
    <xf numFmtId="0" fontId="4" applyFont="1" fillId="27" applyFill="1" borderId="27" applyBorder="1" xfId="3" applyProtection="1" applyAlignment="1">
      <alignment horizontal="center" vertical="center"/>
    </xf>
    <xf numFmtId="0" fontId="4" applyFont="1" fillId="28" applyFill="1" borderId="20" applyBorder="1" xfId="3" applyProtection="1" applyAlignment="1">
      <alignment horizontal="center" vertical="center"/>
    </xf>
    <xf numFmtId="0" fontId="4" applyFont="1" fillId="28" applyFill="1" borderId="21" applyBorder="1" xfId="3" applyProtection="1" applyAlignment="1">
      <alignment horizontal="center" vertical="center"/>
    </xf>
    <xf numFmtId="0" fontId="4" applyFont="1" fillId="28" applyFill="1" borderId="22" applyBorder="1" xfId="3" applyProtection="1" applyAlignment="1">
      <alignment horizontal="center" vertical="center"/>
    </xf>
    <xf numFmtId="0" fontId="4" applyFont="1" fillId="28" applyFill="1" borderId="23" applyBorder="1" xfId="3" applyProtection="1" applyAlignment="1">
      <alignment horizontal="center" vertical="center"/>
    </xf>
    <xf numFmtId="3" applyNumberFormat="1" fontId="4" applyFont="1" fillId="28" applyFill="1" borderId="0" xfId="3" applyProtection="1" applyAlignment="1">
      <alignment horizontal="center" vertical="center"/>
    </xf>
    <xf numFmtId="0" fontId="4" applyFont="1" fillId="28" applyFill="1" borderId="0" xfId="3" applyProtection="1" applyAlignment="1">
      <alignment horizontal="center" vertical="center"/>
    </xf>
    <xf numFmtId="0" fontId="4" applyFont="1" fillId="28" applyFill="1" borderId="24" applyBorder="1" xfId="3" applyProtection="1" applyAlignment="1">
      <alignment horizontal="center" vertical="center"/>
    </xf>
    <xf numFmtId="0" fontId="4" applyFont="1" fillId="28" applyFill="1" borderId="81" applyBorder="1" xfId="3" applyProtection="1" applyAlignment="1">
      <alignment horizontal="center" vertical="center"/>
    </xf>
    <xf numFmtId="0" fontId="4" applyFont="1" fillId="28" applyFill="1" borderId="2" applyBorder="1" xfId="3" applyProtection="1" applyAlignment="1">
      <alignment horizontal="center" vertical="center"/>
    </xf>
    <xf numFmtId="0" fontId="4" applyFont="1" fillId="28" applyFill="1" borderId="84" applyBorder="1" xfId="3" applyProtection="1" applyAlignment="1">
      <alignment horizontal="center" vertical="center"/>
    </xf>
    <xf numFmtId="0" fontId="4" applyFont="1" fillId="28" applyFill="1" borderId="80" applyBorder="1" xfId="3" applyProtection="1" applyAlignment="1">
      <alignment horizontal="center" vertical="center"/>
    </xf>
    <xf numFmtId="0" fontId="4" applyFont="1" fillId="28" applyFill="1" borderId="5" applyBorder="1" xfId="3" applyProtection="1" applyAlignment="1">
      <alignment horizontal="center" vertical="center"/>
    </xf>
    <xf numFmtId="0" fontId="4" applyFont="1" fillId="28" applyFill="1" borderId="85" applyBorder="1" xfId="3" applyProtection="1" applyAlignment="1">
      <alignment horizontal="center" vertical="center"/>
    </xf>
    <xf numFmtId="0" fontId="4" applyFont="1" fillId="28" applyFill="1" borderId="25" applyBorder="1" xfId="3" applyProtection="1" applyAlignment="1">
      <alignment horizontal="center" vertical="center"/>
    </xf>
    <xf numFmtId="0" fontId="4" applyFont="1" fillId="28" applyFill="1" borderId="26" applyBorder="1" xfId="3" applyProtection="1" applyAlignment="1">
      <alignment horizontal="center" vertical="center"/>
    </xf>
    <xf numFmtId="0" fontId="4" applyFont="1" fillId="28" applyFill="1" borderId="27" applyBorder="1" xfId="3" applyProtection="1" applyAlignment="1">
      <alignment horizontal="center" vertical="center"/>
    </xf>
    <xf numFmtId="0" fontId="63" applyFont="1" fillId="0" borderId="0" xfId="0" applyProtection="1" applyAlignment="1">
      <alignment horizontal="center" vertical="center" wrapText="1"/>
    </xf>
    <xf numFmtId="0" fontId="149" applyFont="1" fillId="0" borderId="39" applyBorder="1" xfId="0" applyProtection="1" applyAlignment="1">
      <alignment horizontal="center" vertical="center"/>
    </xf>
    <xf numFmtId="0" fontId="150" applyFont="1" fillId="0" borderId="0" xfId="0" applyProtection="1" applyAlignment="1">
      <alignment horizontal="center" vertical="center"/>
    </xf>
    <xf numFmtId="43" applyNumberFormat="1" fontId="149" applyFont="1" fillId="0" borderId="40" applyBorder="1" xfId="1" applyProtection="1" applyAlignment="1">
      <alignment horizontal="center" vertical="center"/>
    </xf>
    <xf numFmtId="0" fontId="151" applyFont="1" fillId="4" applyFill="1" borderId="15" applyBorder="1" xfId="0" applyProtection="1" applyAlignment="1">
      <alignment horizontal="center" vertical="center"/>
    </xf>
    <xf numFmtId="0" fontId="151" applyFont="1" fillId="4" applyFill="1" borderId="17" applyBorder="1" xfId="0" applyProtection="1" applyAlignment="1">
      <alignment horizontal="center" vertical="center"/>
    </xf>
    <xf numFmtId="0" fontId="151" applyFont="1" fillId="4" applyFill="1" borderId="18" applyBorder="1" xfId="0" applyProtection="1" applyAlignment="1">
      <alignment horizontal="center" vertical="center"/>
    </xf>
    <xf numFmtId="0" fontId="118" applyFont="1" fillId="0" borderId="0" xfId="0" applyProtection="1" applyAlignment="1">
      <alignment horizontal="center" vertical="center"/>
    </xf>
    <xf numFmtId="0" fontId="84" applyFont="1" fillId="0" borderId="66" applyBorder="1" xfId="0" applyProtection="1" applyAlignment="1">
      <alignment vertical="center"/>
    </xf>
    <xf numFmtId="43" applyNumberFormat="1" fontId="86" applyFont="1" fillId="0" borderId="66" applyBorder="1" xfId="1" applyProtection="1" applyAlignment="1">
      <alignment vertical="center"/>
    </xf>
    <xf numFmtId="0" fontId="67" applyFont="1" fillId="16" applyFill="1" borderId="49" applyBorder="1" xfId="0" applyProtection="1" applyAlignment="1">
      <alignment horizontal="center" vertical="center"/>
    </xf>
    <xf numFmtId="0" fontId="91" applyFont="1" fillId="0" borderId="21" applyBorder="1" xfId="0" applyProtection="1" applyAlignment="1">
      <alignment horizontal="center" vertical="center"/>
    </xf>
    <xf numFmtId="0" fontId="91" applyFont="1" fillId="0" borderId="0" xfId="0" applyProtection="1" applyAlignment="1">
      <alignment horizontal="center" vertical="center"/>
    </xf>
    <xf numFmtId="0" fontId="91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horizontal="center"/>
    </xf>
    <xf numFmtId="3" applyNumberFormat="1" fontId="75" applyFont="1" fillId="16" applyFill="1" borderId="0" xfId="0" applyProtection="1" applyAlignment="1">
      <alignment horizontal="center"/>
    </xf>
    <xf numFmtId="0" fontId="83" applyFont="1" fillId="0" borderId="21" applyBorder="1" xfId="0" applyProtection="1" applyAlignment="1">
      <alignment horizontal="center" vertical="center"/>
    </xf>
    <xf numFmtId="0" fontId="83" applyFont="1" fillId="0" borderId="5" applyBorder="1" xfId="0" applyProtection="1" applyAlignment="1">
      <alignment horizontal="center" vertical="center"/>
    </xf>
    <xf numFmtId="0" fontId="83" applyFont="1" fillId="0" borderId="21" applyBorder="1" xfId="0" applyProtection="1" applyAlignment="1">
      <alignment horizontal="center" vertical="center" wrapText="1"/>
    </xf>
    <xf numFmtId="0" fontId="83" applyFont="1" fillId="0" borderId="5" applyBorder="1" xfId="0" applyProtection="1" applyAlignment="1">
      <alignment horizontal="center" vertical="center" wrapText="1"/>
    </xf>
    <xf numFmtId="3" applyNumberFormat="1" fontId="152" applyFont="1" fillId="16" applyFill="1" borderId="0" xfId="0" applyProtection="1" applyAlignment="1">
      <alignment vertical="center" wrapText="1"/>
    </xf>
    <xf numFmtId="3" applyNumberFormat="1" fontId="15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26" applyBorder="1" xfId="0" applyProtection="1" applyAlignment="1">
      <alignment horizontal="center" vertical="center" wrapText="1"/>
    </xf>
    <xf numFmtId="1" applyNumberFormat="1" fontId="115" applyFont="1" fillId="0" borderId="34" applyBorder="1" xfId="0" applyProtection="1" applyAlignment="1">
      <alignment horizontal="right" vertical="center" wrapText="1"/>
    </xf>
    <xf numFmtId="1" applyNumberFormat="1" fontId="115" applyFont="1" fillId="0" borderId="16" applyBorder="1" xfId="0" applyProtection="1" applyAlignment="1">
      <alignment horizontal="right" vertical="center" wrapText="1"/>
    </xf>
    <xf numFmtId="1" applyNumberFormat="1" fontId="88" applyFont="1" fillId="0" borderId="29" applyBorder="1" xfId="0" applyProtection="1" applyAlignment="1">
      <alignment horizontal="center" vertical="center" wrapText="1"/>
    </xf>
    <xf numFmtId="1" applyNumberFormat="1" fontId="88" applyFont="1" fillId="0" borderId="31" applyBorder="1" xfId="0" applyProtection="1" applyAlignment="1">
      <alignment horizontal="center" vertical="center" wrapText="1"/>
    </xf>
    <xf numFmtId="1" applyNumberFormat="1" fontId="115" applyFont="1" fillId="0" borderId="28" applyBorder="1" xfId="0" applyProtection="1" applyAlignment="1">
      <alignment horizontal="right" vertical="center" wrapText="1"/>
    </xf>
    <xf numFmtId="1" applyNumberFormat="1" fontId="115" applyFont="1" fillId="0" borderId="9" applyBorder="1" xfId="0" applyProtection="1" applyAlignment="1">
      <alignment horizontal="right" vertical="center" wrapText="1"/>
    </xf>
    <xf numFmtId="1" applyNumberFormat="1" fontId="88" applyFont="1" fillId="0" borderId="23" applyBorder="1" xfId="0" applyProtection="1" applyAlignment="1">
      <alignment horizontal="center" vertical="center" wrapText="1"/>
    </xf>
    <xf numFmtId="1" applyNumberFormat="1" fontId="88" applyFont="1" fillId="0" borderId="24" applyBorder="1" xfId="0" applyProtection="1" applyAlignment="1">
      <alignment horizontal="center" vertical="center" wrapText="1"/>
    </xf>
    <xf numFmtId="1" applyNumberFormat="1" fontId="88" applyFont="1" fillId="0" borderId="25" applyBorder="1" xfId="0" applyProtection="1" applyAlignment="1">
      <alignment horizontal="center" vertical="center" wrapText="1"/>
    </xf>
    <xf numFmtId="1" applyNumberFormat="1" fontId="88" applyFont="1" fillId="0" borderId="27" applyBorder="1" xfId="0" applyProtection="1" applyAlignment="1">
      <alignment horizontal="center" vertical="center" wrapText="1"/>
    </xf>
    <xf numFmtId="1" applyNumberFormat="1" fontId="115" applyFont="1" fillId="0" borderId="33" applyBorder="1" xfId="0" applyProtection="1" applyAlignment="1">
      <alignment horizontal="right" vertical="center" wrapText="1"/>
    </xf>
    <xf numFmtId="1" applyNumberFormat="1" fontId="115" applyFont="1" fillId="0" borderId="19" applyBorder="1" xfId="0" applyProtection="1" applyAlignment="1">
      <alignment horizontal="right" vertical="center" wrapText="1"/>
    </xf>
    <xf numFmtId="0" fontId="84" applyFont="1" fillId="0" borderId="64" applyBorder="1" xfId="0" applyProtection="1" applyAlignment="1">
      <alignment horizontal="center" vertical="center"/>
    </xf>
    <xf numFmtId="0" fontId="84" applyFont="1" fillId="0" borderId="65" applyBorder="1" xfId="0" applyProtection="1" applyAlignment="1">
      <alignment horizontal="center" vertical="center"/>
    </xf>
    <xf numFmtId="0" fontId="85" applyFont="1" fillId="0" borderId="2" applyBorder="1" xfId="0" applyProtection="1" applyAlignment="1">
      <alignment horizontal="center" vertical="center"/>
    </xf>
    <xf numFmtId="0" fontId="85" applyFont="1" fillId="0" borderId="0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3" applyNumberFormat="1" fontId="58" applyFont="1" fillId="16" applyFill="1" borderId="0" xfId="0" applyProtection="1" applyAlignment="1">
      <alignment horizontal="center" vertical="center"/>
    </xf>
    <xf numFmtId="3" applyNumberFormat="1" fontId="78" applyFont="1" fillId="16" applyFill="1" borderId="0" xfId="0" applyProtection="1" applyAlignment="1">
      <alignment horizontal="right"/>
    </xf>
    <xf numFmtId="0" fontId="56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4" applyFont="1" fillId="16" applyFill="1" borderId="23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 vertical="center"/>
    </xf>
    <xf numFmtId="0" fontId="84" applyFont="1" fillId="0" borderId="66" applyBorder="1" xfId="0" applyProtection="1" applyAlignment="1">
      <alignment horizontal="center" vertical="center"/>
    </xf>
    <xf numFmtId="0" fontId="84" applyFont="1" fillId="0" borderId="67" applyBorder="1" xfId="0" applyProtection="1" applyAlignment="1">
      <alignment horizontal="center" vertical="center"/>
    </xf>
    <xf numFmtId="43" applyNumberFormat="1" fontId="86" applyFont="1" fillId="0" borderId="66" applyBorder="1" xfId="1" applyProtection="1" applyAlignment="1">
      <alignment horizontal="center" vertical="center"/>
    </xf>
    <xf numFmtId="43" applyNumberFormat="1" fontId="86" applyFont="1" fillId="0" borderId="67" applyBorder="1" xfId="1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top"/>
    </xf>
    <xf numFmtId="3" applyNumberFormat="1" fontId="78" applyFont="1" fillId="16" applyFill="1" borderId="0" xfId="0" applyProtection="1" applyAlignment="1">
      <alignment horizontal="center" vertical="center"/>
    </xf>
    <xf numFmtId="0" fontId="58" applyFont="1" fillId="16" applyFill="1" borderId="0" xfId="0" applyProtection="1" applyAlignment="1">
      <alignment horizontal="left"/>
    </xf>
    <xf numFmtId="0" fontId="74" applyFont="1" fillId="0" borderId="0" xfId="0" applyProtection="1" applyAlignment="1">
      <alignment horizontal="center" vertical="center"/>
    </xf>
    <xf numFmtId="43" applyNumberFormat="1" fontId="72" applyFont="1" fillId="7" applyFill="1" borderId="29" applyBorder="1" xfId="1" applyProtection="1" applyAlignment="1">
      <alignment horizontal="center"/>
    </xf>
    <xf numFmtId="43" applyNumberFormat="1" fontId="72" applyFont="1" fillId="7" applyFill="1" borderId="31" applyBorder="1" xfId="1" applyProtection="1" applyAlignment="1">
      <alignment horizontal="center"/>
    </xf>
    <xf numFmtId="43" applyNumberFormat="1" fontId="88" applyFont="1" fillId="7" applyFill="1" borderId="20" applyBorder="1" xfId="1" applyProtection="1" applyAlignment="1">
      <alignment horizontal="center"/>
    </xf>
    <xf numFmtId="43" applyNumberFormat="1" fontId="88" applyFont="1" fillId="7" applyFill="1" borderId="22" applyBorder="1" xfId="1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43" applyNumberFormat="1" fontId="72" applyFont="1" fillId="7" applyFill="1" borderId="25" applyBorder="1" xfId="1" applyProtection="1" applyAlignment="1">
      <alignment horizontal="center"/>
    </xf>
    <xf numFmtId="43" applyNumberFormat="1" fontId="72" applyFont="1" fillId="7" applyFill="1" borderId="27" applyBorder="1" xfId="1" applyProtection="1" applyAlignment="1">
      <alignment horizontal="center"/>
    </xf>
    <xf numFmtId="0" fontId="67" applyFont="1" fillId="16" applyFill="1" borderId="55" applyBorder="1" xfId="0" applyProtection="1" applyAlignment="1">
      <alignment horizontal="center" vertical="center"/>
    </xf>
    <xf numFmtId="0" fontId="67" applyFont="1" fillId="16" applyFill="1" borderId="56" applyBorder="1" xfId="0" applyProtection="1" applyAlignment="1">
      <alignment horizontal="center" vertical="center"/>
    </xf>
    <xf numFmtId="0" fontId="0" fillId="16" applyFill="1" borderId="69" applyBorder="1" xfId="0" applyProtection="1" applyAlignment="1">
      <alignment horizontal="center"/>
    </xf>
    <xf numFmtId="3" applyNumberFormat="1" fontId="152" applyFont="1" fillId="16" applyFill="1" borderId="0" xfId="0" applyProtection="1" applyAlignment="1">
      <alignment horizontal="center"/>
    </xf>
    <xf numFmtId="0" fontId="90" applyFont="1" fillId="16" applyFill="1" borderId="0" xfId="0" applyProtection="1" applyAlignment="1">
      <alignment horizontal="center"/>
    </xf>
    <xf numFmtId="165" applyNumberFormat="1" fontId="77" applyFont="1" fillId="7" applyFill="1" borderId="0" xfId="0" applyProtection="1" applyAlignment="1">
      <alignment horizontal="center"/>
    </xf>
    <xf numFmtId="0" fontId="54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6" applyFont="1" fillId="0" borderId="64" applyBorder="1" xfId="1" applyProtection="1" applyAlignment="1">
      <alignment horizontal="center" vertical="center"/>
    </xf>
    <xf numFmtId="43" applyNumberFormat="1" fontId="86" applyFont="1" fillId="0" borderId="0" xfId="1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/>
    </xf>
    <xf numFmtId="0" fontId="0" fillId="13" applyFill="1" borderId="0" xfId="0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 wrapText="1"/>
    </xf>
    <xf numFmtId="0" fontId="52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55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65" applyFont="1" fillId="16" applyFill="1" borderId="0" xfId="0" applyProtection="1" applyAlignment="1">
      <alignment horizontal="center"/>
    </xf>
    <xf numFmtId="0" fontId="65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3" applyFont="1" fillId="0" borderId="0" xfId="0" applyProtection="1" applyAlignment="1">
      <alignment horizontal="center"/>
    </xf>
    <xf numFmtId="0" fontId="82" applyFont="1" fillId="0" borderId="0" xfId="0" applyProtection="1" applyAlignment="1">
      <alignment horizontal="center" vertical="center"/>
    </xf>
    <xf numFmtId="0" fontId="43" applyFont="1" fillId="11" applyFill="1" borderId="0" xfId="0" applyProtection="1" applyAlignment="1">
      <alignment horizontal="center"/>
      <protection locked="0"/>
    </xf>
    <xf numFmtId="0" fontId="39" applyFont="1" fillId="2" applyFill="1" borderId="29" applyBorder="1" xfId="0" applyProtection="1" applyAlignment="1">
      <alignment horizontal="center" vertical="center"/>
    </xf>
    <xf numFmtId="0" fontId="39" applyFont="1" fillId="2" applyFill="1" borderId="31" applyBorder="1" xfId="0" applyProtection="1" applyAlignment="1">
      <alignment horizontal="center" vertical="center"/>
    </xf>
    <xf numFmtId="169" applyNumberFormat="1" fontId="44" applyFont="1" fillId="2" applyFill="1" borderId="23" applyBorder="1" xfId="0" applyProtection="1" applyAlignment="1">
      <alignment horizontal="center" vertical="center"/>
    </xf>
    <xf numFmtId="169" applyNumberFormat="1" fontId="44" applyFont="1" fillId="2" applyFill="1" borderId="0" xfId="0" applyProtection="1" applyAlignment="1">
      <alignment horizontal="center" vertical="center"/>
    </xf>
    <xf numFmtId="0" fontId="38" applyFont="1" fillId="10" applyFill="1" borderId="20" applyBorder="1" xfId="0" applyProtection="1" applyAlignment="1">
      <alignment horizontal="center" vertical="center"/>
    </xf>
    <xf numFmtId="0" fontId="38" applyFont="1" fillId="10" applyFill="1" borderId="21" applyBorder="1" xfId="0" applyProtection="1" applyAlignment="1">
      <alignment horizontal="center" vertical="center"/>
    </xf>
    <xf numFmtId="0" fontId="38" applyFont="1" fillId="10" applyFill="1" borderId="22" applyBorder="1" xfId="0" applyProtection="1" applyAlignment="1">
      <alignment horizontal="center" vertical="center"/>
    </xf>
    <xf numFmtId="0" fontId="38" applyFont="1" fillId="10" applyFill="1" borderId="25" applyBorder="1" xfId="0" applyProtection="1" applyAlignment="1">
      <alignment horizontal="center" vertical="center"/>
    </xf>
    <xf numFmtId="0" fontId="38" applyFont="1" fillId="10" applyFill="1" borderId="26" applyBorder="1" xfId="0" applyProtection="1" applyAlignment="1">
      <alignment horizontal="center" vertical="center"/>
    </xf>
    <xf numFmtId="0" fontId="38" applyFont="1" fillId="10" applyFill="1" borderId="27" applyBorder="1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8" applyFont="1" fillId="10" applyFill="1" borderId="0" xfId="0" applyProtection="1" applyAlignment="1">
      <alignment horizontal="center" vertical="center"/>
    </xf>
    <xf numFmtId="0" fontId="39" applyFont="1" fillId="2" applyFill="1" borderId="0" xfId="0" applyProtection="1" applyAlignment="1">
      <alignment horizontal="center" vertical="center"/>
    </xf>
    <xf numFmtId="0" fontId="44" applyFont="1" fillId="2" applyFill="1" borderId="0" xfId="0" applyProtection="1" applyAlignment="1">
      <alignment horizontal="center" vertical="center"/>
    </xf>
    <xf numFmtId="0" fontId="7" applyFont="1" fillId="2" applyFill="1" borderId="9" applyBorder="1" xfId="3" applyProtection="1" applyAlignment="1">
      <alignment horizontal="center"/>
      <protection locked="0"/>
    </xf>
    <xf numFmtId="0" fontId="7" applyFont="1" fillId="2" applyFill="1" borderId="10" applyBorder="1" xfId="3" applyProtection="1" applyAlignment="1">
      <alignment horizontal="center"/>
      <protection locked="0"/>
    </xf>
    <xf numFmtId="0" fontId="7" applyFont="1" fillId="2" applyFill="1" borderId="11" applyBorder="1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</xf>
    <xf numFmtId="0" fontId="4" applyFont="1" fillId="0" borderId="1" applyBorder="1" xfId="3" applyProtection="1" applyAlignment="1">
      <alignment horizontal="center"/>
      <protection locked="0"/>
    </xf>
    <xf numFmtId="0" fontId="4" applyFont="1" fillId="0" borderId="2" applyBorder="1" xfId="3" applyProtection="1" applyAlignment="1">
      <alignment horizontal="center"/>
      <protection locked="0"/>
    </xf>
    <xf numFmtId="0" fontId="4" applyFont="1" fillId="0" borderId="6" applyBorder="1" xfId="3" applyProtection="1" applyAlignment="1">
      <alignment horizontal="center"/>
      <protection locked="0"/>
    </xf>
    <xf numFmtId="0" fontId="4" applyFont="1" fillId="0" borderId="9" applyBorder="1" xfId="3" applyProtection="1" applyAlignment="1">
      <alignment horizontal="center"/>
      <protection locked="0"/>
    </xf>
    <xf numFmtId="0" fontId="4" applyFont="1" fillId="0" borderId="10" applyBorder="1" xfId="3" applyProtection="1" applyAlignment="1">
      <alignment horizontal="center"/>
      <protection locked="0"/>
    </xf>
    <xf numFmtId="0" fontId="4" applyFont="1" fillId="0" borderId="11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</xf>
    <xf numFmtId="0" fontId="24" applyFont="1" fillId="0" borderId="0" xfId="3" applyProtection="1" applyAlignment="1">
      <alignment horizontal="left"/>
    </xf>
    <xf numFmtId="0" fontId="4" applyFont="1" fillId="0" borderId="9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9" applyBorder="1" xfId="3" applyProtection="1" applyAlignment="1">
      <alignment horizontal="left"/>
    </xf>
    <xf numFmtId="0" fontId="4" applyFont="1" fillId="0" borderId="10" applyBorder="1" xfId="3" applyProtection="1" applyAlignment="1">
      <alignment horizontal="left"/>
    </xf>
    <xf numFmtId="0" fontId="4" applyFont="1" fillId="2" applyFill="1" borderId="9" applyBorder="1" xfId="3" applyProtection="1" applyAlignment="1">
      <alignment horizontal="left"/>
    </xf>
    <xf numFmtId="0" fontId="4" applyFont="1" fillId="2" applyFill="1" borderId="10" applyBorder="1" xfId="3" applyProtection="1" applyAlignment="1">
      <alignment horizontal="left"/>
    </xf>
    <xf numFmtId="0" fontId="4" applyFont="1" fillId="2" applyFill="1" borderId="10" applyBorder="1" xfId="3" applyProtection="1" applyAlignment="1">
      <alignment horizontal="center"/>
      <protection locked="0"/>
    </xf>
    <xf numFmtId="0" fontId="4" applyFont="1" fillId="2" applyFill="1" borderId="11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left"/>
    </xf>
    <xf numFmtId="0" fontId="7" applyFont="1" fillId="0" borderId="0" xfId="3" applyProtection="1" applyAlignment="1">
      <alignment horizontal="left" wrapText="1"/>
    </xf>
    <xf numFmtId="0" fontId="9" applyFont="1" fillId="0" borderId="29" applyBorder="1" xfId="3" applyProtection="1" applyAlignment="1">
      <alignment horizontal="center"/>
    </xf>
    <xf numFmtId="0" fontId="9" applyFont="1" fillId="0" borderId="30" applyBorder="1" xfId="3" applyProtection="1" applyAlignment="1">
      <alignment horizontal="center"/>
    </xf>
    <xf numFmtId="0" fontId="9" applyFont="1" fillId="0" borderId="31" applyBorder="1" xfId="3" applyProtection="1" applyAlignment="1">
      <alignment horizontal="center"/>
    </xf>
    <xf numFmtId="0" fontId="4" applyFont="1" fillId="0" borderId="28" applyBorder="1" xfId="3" applyProtection="1" applyAlignment="1">
      <alignment horizontal="center" vertical="center" wrapText="1"/>
    </xf>
    <xf numFmtId="167" applyNumberFormat="1" fontId="4" applyFont="1" fillId="0" borderId="12" applyBorder="1" xfId="3" applyProtection="1" applyAlignment="1">
      <alignment horizontal="center" vertical="center" wrapText="1"/>
    </xf>
    <xf numFmtId="4" applyNumberFormat="1" fontId="11" applyFont="1" fillId="0" borderId="29" applyBorder="1" xfId="3" applyProtection="1" applyAlignment="1">
      <alignment horizontal="center" vertical="center" shrinkToFit="1"/>
    </xf>
    <xf numFmtId="4" applyNumberFormat="1" fontId="11" applyFont="1" fillId="0" borderId="30" applyBorder="1" xfId="3" applyProtection="1" applyAlignment="1">
      <alignment horizontal="center" vertical="center" shrinkToFit="1"/>
    </xf>
    <xf numFmtId="4" applyNumberFormat="1" fontId="11" applyFont="1" fillId="0" borderId="31" applyBorder="1" xfId="3" applyProtection="1" applyAlignment="1">
      <alignment horizontal="center" vertical="center" shrinkToFit="1"/>
    </xf>
    <xf numFmtId="2" applyNumberFormat="1" fontId="11" applyFont="1" fillId="0" borderId="29" applyBorder="1" xfId="3" applyProtection="1" applyAlignment="1">
      <alignment horizontal="center" vertical="center" shrinkToFit="1"/>
    </xf>
    <xf numFmtId="2" applyNumberFormat="1" fontId="11" applyFont="1" fillId="0" borderId="30" applyBorder="1" xfId="3" applyProtection="1" applyAlignment="1">
      <alignment horizontal="center" vertical="center" shrinkToFit="1"/>
    </xf>
    <xf numFmtId="2" applyNumberFormat="1" fontId="11" applyFont="1" fillId="0" borderId="31" applyBorder="1" xfId="3" applyProtection="1" applyAlignment="1">
      <alignment horizontal="center" vertical="center" shrinkToFit="1"/>
    </xf>
    <xf numFmtId="0" fontId="14" applyFont="1" fillId="0" borderId="4" applyBorder="1" xfId="3" applyProtection="1" applyAlignment="1">
      <alignment horizontal="center"/>
    </xf>
    <xf numFmtId="0" fontId="14" applyFont="1" fillId="0" borderId="5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8" applyBorder="1" xfId="3" applyProtection="1" applyAlignment="1">
      <alignment horizontal="center"/>
    </xf>
    <xf numFmtId="1" applyNumberFormat="1" fontId="12" applyFont="1" fillId="0" borderId="5" applyBorder="1" xfId="3" applyProtection="1" applyAlignment="1">
      <alignment horizontal="right"/>
    </xf>
    <xf numFmtId="49" applyNumberFormat="1" fontId="10" applyFont="1" fillId="0" borderId="28" applyBorder="1" xfId="3" applyProtection="1" applyAlignment="1">
      <alignment horizontal="center" vertical="center" shrinkToFit="1"/>
    </xf>
    <xf numFmtId="49" applyNumberFormat="1" fontId="10" applyFont="1" fillId="0" borderId="12" applyBorder="1" xfId="3" applyProtection="1" applyAlignment="1">
      <alignment horizontal="center" vertical="center" shrinkToFit="1"/>
    </xf>
    <xf numFmtId="2" applyNumberFormat="1" fontId="11" applyFont="1" fillId="0" borderId="28" applyBorder="1" xfId="3" applyProtection="1" applyAlignment="1">
      <alignment horizontal="center" vertical="center" shrinkToFit="1"/>
    </xf>
    <xf numFmtId="2" applyNumberFormat="1" fontId="11" applyFont="1" fillId="0" borderId="12" applyBorder="1" xfId="3" applyProtection="1" applyAlignment="1">
      <alignment horizontal="center" vertical="center" shrinkToFit="1"/>
    </xf>
    <xf numFmtId="0" fontId="14" applyFont="1" fillId="0" borderId="9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1" applyNumberFormat="1" fontId="12" applyFont="1" fillId="0" borderId="10" applyBorder="1" xfId="3" applyProtection="1" applyAlignment="1">
      <alignment horizontal="right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11" applyBorder="1" xfId="3" applyProtection="1" applyAlignment="1">
      <alignment horizontal="center"/>
    </xf>
    <xf numFmtId="0" fontId="16" applyFont="1" fillId="2" applyFill="1" borderId="10" applyBorder="1" xfId="3" applyProtection="1" applyAlignment="1">
      <alignment horizontal="right"/>
    </xf>
    <xf numFmtId="0" fontId="16" applyFont="1" fillId="0" borderId="28" applyBorder="1" xfId="3" applyProtection="1" applyAlignment="1">
      <alignment horizontal="center"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/>
    </xf>
    <xf numFmtId="0" fontId="16" applyFont="1" fillId="2" applyFill="1" borderId="4" applyBorder="1" xfId="3" applyProtection="1" applyAlignment="1">
      <alignment horizontal="left" vertical="center" shrinkToFit="1"/>
    </xf>
    <xf numFmtId="0" fontId="4" applyFont="1" fillId="2" applyFill="1" borderId="5" applyBorder="1" xfId="3" applyProtection="1"/>
    <xf numFmtId="0" fontId="4" applyFont="1" fillId="2" applyFill="1" borderId="8" applyBorder="1" xfId="3" applyProtection="1"/>
    <xf numFmtId="0" fontId="12" applyFont="1" fillId="2" applyFill="1" borderId="14" applyBorder="1" xfId="3" applyProtection="1" applyAlignment="1">
      <alignment horizontal="center" vertical="center" shrinkToFit="1"/>
    </xf>
    <xf numFmtId="165" applyNumberFormat="1" fontId="23" applyFont="1" fillId="2" applyFill="1" borderId="14" applyBorder="1" xfId="3" applyProtection="1" applyAlignment="1">
      <alignment horizontal="center" vertical="center" shrinkToFit="1"/>
    </xf>
    <xf numFmtId="0" fontId="23" applyFont="1" fillId="8" applyFill="1" borderId="28" applyBorder="1" xfId="3" applyProtection="1" applyAlignment="1">
      <alignment horizontal="center"/>
    </xf>
    <xf numFmtId="0" fontId="16" applyFont="1" fillId="2" applyFill="1" borderId="28" applyBorder="1" xfId="3" applyProtection="1" applyAlignment="1">
      <alignment horizontal="left" vertical="center" shrinkToFit="1"/>
    </xf>
    <xf numFmtId="0" fontId="12" applyFont="1" fillId="2" applyFill="1" borderId="28" applyBorder="1" xfId="3" applyProtection="1" applyAlignment="1">
      <alignment horizontal="center" vertical="center" shrinkToFit="1"/>
    </xf>
    <xf numFmtId="165" applyNumberFormat="1" fontId="23" applyFont="1" fillId="2" applyFill="1" borderId="28" applyBorder="1" xfId="3" applyProtection="1" applyAlignment="1">
      <alignment horizontal="center" vertical="center" shrinkToFit="1"/>
    </xf>
    <xf numFmtId="0" fontId="11" applyFont="1" fillId="0" borderId="33" applyBorder="1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 vertical="center" shrinkToFit="1"/>
    </xf>
    <xf numFmtId="165" applyNumberFormat="1" fontId="29" applyFont="1" fillId="0" borderId="28" applyBorder="1" xfId="3" applyProtection="1" applyAlignment="1">
      <alignment horizontal="center" vertical="center" shrinkToFit="1"/>
    </xf>
    <xf numFmtId="0" fontId="23" applyFont="1" fillId="0" borderId="1" applyBorder="1" xfId="3" applyProtection="1" applyAlignment="1">
      <alignment horizontal="center" vertical="center" shrinkToFit="1"/>
    </xf>
    <xf numFmtId="0" fontId="23" applyFont="1" fillId="0" borderId="2" applyBorder="1" xfId="3" applyProtection="1" applyAlignment="1">
      <alignment horizontal="center" vertical="center" shrinkToFit="1"/>
    </xf>
    <xf numFmtId="0" fontId="23" applyFont="1" fillId="0" borderId="6" applyBorder="1" xfId="3" applyProtection="1" applyAlignment="1">
      <alignment horizontal="center" vertical="center" shrinkToFit="1"/>
    </xf>
    <xf numFmtId="0" fontId="16" applyFont="1" fillId="2" applyFill="1" borderId="9" applyBorder="1" xfId="3" applyProtection="1" applyAlignment="1">
      <alignment horizontal="center" vertical="center" shrinkToFit="1"/>
    </xf>
    <xf numFmtId="0" fontId="16" applyFont="1" fillId="2" applyFill="1" borderId="10" applyBorder="1" xfId="3" applyProtection="1" applyAlignment="1">
      <alignment horizontal="center" vertical="center" shrinkToFit="1"/>
    </xf>
    <xf numFmtId="0" fontId="16" applyFont="1" fillId="2" applyFill="1" borderId="11" applyBorder="1" xfId="3" applyProtection="1" applyAlignment="1">
      <alignment horizontal="center" vertical="center" shrinkToFit="1"/>
    </xf>
    <xf numFmtId="0" fontId="13" applyFont="1" fillId="0" borderId="34" applyBorder="1" xfId="3" applyProtection="1" applyAlignment="1">
      <alignment horizontal="center" vertical="center" shrinkToFit="1"/>
    </xf>
    <xf numFmtId="0" fontId="16" applyFont="1" fillId="6" applyFill="1" borderId="28" applyBorder="1" xfId="3" applyProtection="1" applyAlignment="1">
      <alignment horizontal="left" vertical="center" shrinkToFit="1"/>
    </xf>
    <xf numFmtId="0" fontId="12" applyFont="1" fillId="6" applyFill="1" borderId="28" applyBorder="1" xfId="3" applyProtection="1" applyAlignment="1">
      <alignment horizontal="center" vertical="center" shrinkToFit="1"/>
    </xf>
    <xf numFmtId="165" applyNumberFormat="1" fontId="23" applyFont="1" fillId="6" applyFill="1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17" applyFont="1" fillId="0" borderId="32" applyBorder="1" xfId="3" applyProtection="1" applyAlignment="1">
      <alignment horizontal="center"/>
    </xf>
    <xf numFmtId="0" fontId="18" applyFont="1" fillId="0" borderId="14" applyBorder="1" xfId="3" applyProtection="1" applyAlignment="1">
      <alignment horizontal="center" vertical="center" shrinkToFit="1"/>
    </xf>
    <xf numFmtId="0" fontId="18" applyFont="1" fillId="0" borderId="28" applyBorder="1" xfId="3" applyProtection="1" applyAlignment="1">
      <alignment horizontal="center" vertical="center" shrinkToFit="1"/>
    </xf>
    <xf numFmtId="0" fontId="18" applyFont="1" fillId="0" borderId="9" applyBorder="1" xfId="3" applyProtection="1" applyAlignment="1">
      <alignment horizontal="center" vertical="center" shrinkToFit="1"/>
    </xf>
    <xf numFmtId="0" fontId="18" applyFont="1" fillId="0" borderId="10" applyBorder="1" xfId="3" applyProtection="1" applyAlignment="1">
      <alignment horizontal="center" vertical="center" shrinkToFit="1"/>
    </xf>
    <xf numFmtId="0" fontId="18" applyFont="1" fillId="0" borderId="1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 vertical="center" shrinkToFit="1"/>
    </xf>
    <xf numFmtId="0" fontId="12" applyFont="1" fillId="0" borderId="5" applyBorder="1" xfId="3" applyProtection="1" applyAlignment="1">
      <alignment horizontal="center" vertical="center" shrinkToFit="1"/>
    </xf>
    <xf numFmtId="0" fontId="12" applyFont="1" fillId="0" borderId="8" applyBorder="1" xfId="3" applyProtection="1" applyAlignment="1">
      <alignment horizontal="center" vertical="center" shrinkToFit="1"/>
    </xf>
    <xf numFmtId="0" fontId="22" applyFont="1" fillId="0" borderId="3" applyBorder="1" xfId="3" applyProtection="1" applyAlignment="1">
      <alignment horizontal="center" vertical="center" wrapText="1"/>
    </xf>
    <xf numFmtId="0" fontId="22" applyFont="1" fillId="0" borderId="0" xfId="3" applyProtection="1" applyAlignment="1">
      <alignment horizontal="center" vertical="center" wrapText="1"/>
    </xf>
    <xf numFmtId="0" fontId="22" applyFont="1" fillId="0" borderId="7" applyBorder="1" xfId="3" applyProtection="1" applyAlignment="1">
      <alignment horizontal="center" vertical="center" wrapText="1"/>
    </xf>
    <xf numFmtId="0" fontId="32" applyFont="1" fillId="0" borderId="1" applyBorder="1" xfId="3" applyProtection="1" applyAlignment="1">
      <alignment horizontal="center" vertical="center" shrinkToFit="1"/>
    </xf>
    <xf numFmtId="0" fontId="32" applyFont="1" fillId="0" borderId="2" applyBorder="1" xfId="3" applyProtection="1" applyAlignment="1">
      <alignment horizontal="center" vertical="center" shrinkToFit="1"/>
    </xf>
    <xf numFmtId="0" fontId="32" applyFont="1" fillId="0" borderId="6" applyBorder="1" xfId="3" applyProtection="1" applyAlignment="1">
      <alignment horizontal="center" vertical="center" shrinkToFit="1"/>
    </xf>
    <xf numFmtId="0" fontId="33" applyFont="1" fillId="0" borderId="4" applyBorder="1" xfId="3" applyProtection="1" applyAlignment="1">
      <alignment horizontal="center" shrinkToFit="1"/>
    </xf>
    <xf numFmtId="0" fontId="33" applyFont="1" fillId="0" borderId="5" applyBorder="1" xfId="3" applyProtection="1" applyAlignment="1">
      <alignment horizontal="center" shrinkToFit="1"/>
    </xf>
    <xf numFmtId="0" fontId="33" applyFont="1" fillId="0" borderId="8" applyBorder="1" xfId="3" applyProtection="1" applyAlignment="1">
      <alignment horizontal="center" shrinkToFit="1"/>
    </xf>
    <xf numFmtId="49" applyNumberFormat="1" fontId="24" applyFont="1" fillId="0" borderId="9" applyBorder="1" xfId="3" applyProtection="1" applyAlignment="1">
      <alignment horizontal="center"/>
    </xf>
    <xf numFmtId="49" applyNumberFormat="1" fontId="24" applyFont="1" fillId="0" borderId="10" applyBorder="1" xfId="3" applyProtection="1" applyAlignment="1">
      <alignment horizontal="center"/>
    </xf>
    <xf numFmtId="0" fontId="24" applyFont="1" fillId="0" borderId="2" applyBorder="1" xfId="3" applyProtection="1" applyAlignment="1">
      <alignment horizontal="center"/>
    </xf>
    <xf numFmtId="0" fontId="24" applyFont="1" fillId="0" borderId="6" applyBorder="1" xfId="3" applyProtection="1" applyAlignment="1">
      <alignment horizontal="center"/>
    </xf>
    <xf numFmtId="0" fontId="24" applyFont="1" fillId="0" borderId="4" applyBorder="1" xfId="3" applyProtection="1" applyAlignment="1">
      <alignment horizontal="center"/>
    </xf>
    <xf numFmtId="0" fontId="24" applyFont="1" fillId="0" borderId="5" applyBorder="1" xfId="3" applyProtection="1" applyAlignment="1">
      <alignment horizontal="center"/>
    </xf>
    <xf numFmtId="0" fontId="24" applyFont="1" fillId="0" borderId="8" applyBorder="1" xfId="3" applyProtection="1" applyAlignment="1">
      <alignment horizontal="center"/>
    </xf>
    <xf numFmtId="0" fontId="13" applyFont="1" fillId="0" borderId="13" applyBorder="1" xfId="3" applyProtection="1" applyAlignment="1">
      <alignment horizontal="center" vertical="center" wrapText="1"/>
    </xf>
    <xf numFmtId="0" fontId="13" applyFont="1" fillId="0" borderId="14" applyBorder="1" xfId="3" applyProtection="1" applyAlignment="1">
      <alignment horizontal="center" vertical="center" wrapText="1"/>
    </xf>
    <xf numFmtId="0" fontId="8" applyFont="1" fillId="4" applyFill="1" borderId="28" applyBorder="1" xfId="3" applyProtection="1" applyAlignment="1">
      <alignment horizontal="center" vertical="center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12" applyFont="1" fillId="0" borderId="3" applyBorder="1" xfId="3" applyProtection="1" applyAlignment="1">
      <alignment horizontal="center" vertical="center"/>
    </xf>
    <xf numFmtId="0" fontId="12" applyFont="1" fillId="0" borderId="0" xfId="3" applyProtection="1" applyAlignment="1">
      <alignment horizontal="center" vertical="center"/>
    </xf>
    <xf numFmtId="0" fontId="12" applyFont="1" fillId="0" borderId="7" applyBorder="1" xfId="3" applyProtection="1" applyAlignment="1">
      <alignment horizontal="center" vertical="center"/>
    </xf>
    <xf numFmtId="0" fontId="12" applyFont="1" fillId="0" borderId="4" applyBorder="1" xfId="3" applyProtection="1" applyAlignment="1">
      <alignment horizontal="center" vertical="center"/>
    </xf>
    <xf numFmtId="0" fontId="12" applyFont="1" fillId="0" borderId="5" applyBorder="1" xfId="3" applyProtection="1" applyAlignment="1">
      <alignment horizontal="center" vertical="center"/>
    </xf>
    <xf numFmtId="0" fontId="12" applyFont="1" fillId="0" borderId="8" applyBorder="1" xfId="3" applyProtection="1" applyAlignment="1">
      <alignment horizontal="center" vertical="center"/>
    </xf>
    <xf numFmtId="0" fontId="18" applyFont="1" fillId="0" borderId="9" applyBorder="1" xfId="3" applyProtection="1" applyAlignment="1">
      <alignment horizontal="center"/>
    </xf>
    <xf numFmtId="0" fontId="18" applyFont="1" fillId="0" borderId="10" applyBorder="1" xfId="3" applyProtection="1" applyAlignment="1">
      <alignment horizontal="center"/>
    </xf>
    <xf numFmtId="0" fontId="31" applyFont="1" fillId="0" borderId="3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1" applyFont="1" fillId="0" borderId="7" applyBorder="1" xfId="3" applyProtection="1" applyAlignment="1">
      <alignment horizontal="center" vertical="center" shrinkToFit="1"/>
    </xf>
    <xf numFmtId="0" fontId="8" applyFont="1" fillId="8" applyFill="1" borderId="28" applyBorder="1" xfId="3" applyProtection="1" applyAlignment="1">
      <alignment horizontal="center" vertical="center"/>
    </xf>
    <xf numFmtId="0" fontId="4" applyFont="1" fillId="27" applyFill="1" borderId="10" applyBorder="1" xfId="3" applyProtection="1" applyAlignment="1">
      <alignment horizontal="center" vertical="center"/>
    </xf>
    <xf numFmtId="0" fontId="4" applyFont="1" fillId="28" applyFill="1" borderId="0" xfId="3" applyProtection="1" applyAlignment="1">
      <alignment horizontal="center" vertical="center"/>
    </xf>
    <xf numFmtId="0" fontId="4" applyFont="1" fillId="28" applyFill="1" borderId="24" applyBorder="1" xfId="3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0" fontId="4" applyFont="1" fillId="26" applyFill="1" borderId="20" applyBorder="1" xfId="3" applyProtection="1" applyAlignment="1">
      <alignment horizontal="center" vertical="center" wrapText="1"/>
    </xf>
    <xf numFmtId="0" fontId="4" applyFont="1" fillId="26" applyFill="1" borderId="21" applyBorder="1" xfId="3" applyProtection="1" applyAlignment="1">
      <alignment horizontal="center" vertical="center" wrapText="1"/>
    </xf>
    <xf numFmtId="0" fontId="4" applyFont="1" fillId="26" applyFill="1" borderId="23" applyBorder="1" xfId="3" applyProtection="1" applyAlignment="1">
      <alignment horizontal="center" vertical="center" wrapText="1"/>
    </xf>
    <xf numFmtId="0" fontId="4" applyFont="1" fillId="26" applyFill="1" borderId="0" xfId="3" applyProtection="1" applyAlignment="1">
      <alignment horizontal="center" vertical="center" wrapText="1"/>
    </xf>
    <xf numFmtId="0" fontId="4" applyFont="1" fillId="26" applyFill="1" borderId="80" applyBorder="1" xfId="3" applyProtection="1" applyAlignment="1">
      <alignment horizontal="center" vertical="center" wrapText="1"/>
    </xf>
    <xf numFmtId="0" fontId="4" applyFont="1" fillId="26" applyFill="1" borderId="5" applyBorder="1" xfId="3" applyProtection="1" applyAlignment="1">
      <alignment horizontal="center" vertical="center" wrapText="1"/>
    </xf>
    <xf numFmtId="0" fontId="4" applyFont="1" fillId="26" applyFill="1" borderId="81" applyBorder="1" xfId="3" applyProtection="1" applyAlignment="1">
      <alignment horizontal="center" vertical="center" wrapText="1"/>
    </xf>
    <xf numFmtId="0" fontId="4" applyFont="1" fillId="26" applyFill="1" borderId="2" applyBorder="1" xfId="3" applyProtection="1" applyAlignment="1">
      <alignment horizontal="center" vertical="center" wrapText="1"/>
    </xf>
    <xf numFmtId="0" fontId="4" applyFont="1" fillId="26" applyFill="1" borderId="25" applyBorder="1" xfId="3" applyProtection="1" applyAlignment="1">
      <alignment horizontal="center" vertical="center" wrapText="1"/>
    </xf>
    <xf numFmtId="0" fontId="4" applyFont="1" fillId="26" applyFill="1" borderId="26" applyBorder="1" xfId="3" applyProtection="1" applyAlignment="1">
      <alignment horizontal="center" vertical="center" wrapText="1"/>
    </xf>
    <xf numFmtId="0" fontId="4" applyFont="1" fillId="21" applyFill="1" borderId="23" applyBorder="1" xfId="3" applyProtection="1" applyAlignment="1">
      <alignment horizontal="center" vertical="center"/>
      <protection locked="0"/>
    </xf>
    <xf numFmtId="0" fontId="4" applyFont="1" fillId="21" applyFill="1" borderId="0" xfId="3" applyProtection="1" applyAlignment="1">
      <alignment horizontal="center" vertical="center"/>
      <protection locked="0"/>
    </xf>
    <xf numFmtId="0" fontId="4" applyFont="1" fillId="25" applyFill="1" borderId="9" applyBorder="1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  <protection locked="0"/>
    </xf>
    <xf numFmtId="0" fontId="4" applyFont="1" fillId="25" applyFill="1" borderId="11" applyBorder="1" xfId="3" applyProtection="1" applyAlignment="1">
      <alignment horizontal="center" vertical="center"/>
      <protection locked="0"/>
    </xf>
    <xf numFmtId="0" fontId="4" applyFont="1" fillId="21" applyFill="1" borderId="43" applyBorder="1" xfId="3" applyProtection="1" applyAlignment="1">
      <alignment horizontal="center" vertical="center"/>
    </xf>
    <xf numFmtId="0" fontId="4" applyFont="1" fillId="21" applyFill="1" borderId="21" applyBorder="1" xfId="3" applyProtection="1" applyAlignment="1">
      <alignment horizontal="center" vertical="center"/>
    </xf>
    <xf numFmtId="0" fontId="4" applyFont="1" fillId="21" applyFill="1" borderId="78" applyBorder="1" xfId="3" applyProtection="1" applyAlignment="1">
      <alignment horizontal="center" vertical="center"/>
    </xf>
    <xf numFmtId="0" fontId="4" applyFont="1" fillId="21" applyFill="1" borderId="1" applyBorder="1" xfId="3" applyProtection="1" applyAlignment="1">
      <alignment horizontal="center" vertical="center"/>
    </xf>
    <xf numFmtId="0" fontId="4" applyFont="1" fillId="21" applyFill="1" borderId="2" applyBorder="1" xfId="3" applyProtection="1" applyAlignment="1">
      <alignment horizontal="center" vertical="center"/>
    </xf>
    <xf numFmtId="0" fontId="4" applyFont="1" fillId="21" applyFill="1" borderId="6" applyBorder="1" xfId="3" applyProtection="1" applyAlignment="1">
      <alignment horizontal="center" vertical="center"/>
    </xf>
    <xf numFmtId="0" fontId="4" applyFont="1" fillId="21" applyFill="1" borderId="20" applyBorder="1" xfId="3" applyProtection="1" applyAlignment="1">
      <alignment horizontal="center" vertical="center"/>
      <protection locked="0"/>
    </xf>
    <xf numFmtId="0" fontId="4" applyFont="1" fillId="21" applyFill="1" borderId="21" applyBorder="1" xfId="3" applyProtection="1" applyAlignment="1">
      <alignment horizontal="center" vertical="center"/>
      <protection locked="0"/>
    </xf>
    <xf numFmtId="0" fontId="4" applyFont="1" fillId="21" applyFill="1" borderId="22" applyBorder="1" xfId="3" applyProtection="1" applyAlignment="1">
      <alignment horizontal="center" vertical="center"/>
      <protection locked="0"/>
    </xf>
    <xf numFmtId="0" fontId="4" applyFont="1" fillId="21" applyFill="1" borderId="25" applyBorder="1" xfId="3" applyProtection="1" applyAlignment="1">
      <alignment horizontal="center" vertical="center"/>
      <protection locked="0"/>
    </xf>
    <xf numFmtId="0" fontId="4" applyFont="1" fillId="21" applyFill="1" borderId="26" applyBorder="1" xfId="3" applyProtection="1" applyAlignment="1">
      <alignment horizontal="center" vertical="center"/>
      <protection locked="0"/>
    </xf>
    <xf numFmtId="0" fontId="4" applyFont="1" fillId="25" applyFill="1" borderId="1" applyBorder="1" xfId="3" applyProtection="1" applyAlignment="1">
      <alignment horizontal="center" vertical="center"/>
      <protection locked="0"/>
    </xf>
    <xf numFmtId="0" fontId="4" applyFont="1" fillId="25" applyFill="1" borderId="2" applyBorder="1" xfId="3" applyProtection="1" applyAlignment="1">
      <alignment horizontal="center" vertical="center"/>
      <protection locked="0"/>
    </xf>
    <xf numFmtId="0" fontId="4" applyFont="1" fillId="25" applyFill="1" borderId="6" applyBorder="1" xfId="3" applyProtection="1" applyAlignment="1">
      <alignment horizontal="center" vertical="center"/>
      <protection locked="0"/>
    </xf>
    <xf numFmtId="0" fontId="129" applyFont="1" fillId="0" borderId="4" applyBorder="1" xfId="3" applyProtection="1" applyAlignment="1">
      <alignment horizontal="center" vertical="center" shrinkToFit="1"/>
    </xf>
    <xf numFmtId="0" fontId="129" applyFont="1" fillId="0" borderId="5" applyBorder="1" xfId="3" applyProtection="1" applyAlignment="1">
      <alignment horizontal="center" vertical="center" shrinkToFit="1"/>
    </xf>
    <xf numFmtId="0" fontId="129" applyFont="1" fillId="0" borderId="8" applyBorder="1" xfId="3" applyProtection="1" applyAlignment="1">
      <alignment horizontal="center" vertical="center" shrinkToFit="1"/>
    </xf>
    <xf numFmtId="0" fontId="4" applyFont="1" fillId="25" applyFill="1" borderId="9" applyBorder="1" xfId="3" applyProtection="1" applyAlignment="1">
      <alignment horizontal="center" vertical="center"/>
      <protection locked="0"/>
    </xf>
    <xf numFmtId="0" fontId="33" applyFont="1" fillId="0" borderId="4" applyBorder="1" xfId="3" applyProtection="1" applyAlignment="1">
      <alignment horizontal="center" vertical="center" shrinkToFit="1"/>
    </xf>
    <xf numFmtId="0" fontId="33" applyFont="1" fillId="0" borderId="5" applyBorder="1" xfId="3" applyProtection="1" applyAlignment="1">
      <alignment horizontal="center" vertical="center" shrinkToFit="1"/>
    </xf>
    <xf numFmtId="0" fontId="33" applyFont="1" fillId="0" borderId="8" applyBorder="1" xfId="3" applyProtection="1" applyAlignment="1">
      <alignment horizontal="center" vertical="center" shrinkToFit="1"/>
    </xf>
    <xf numFmtId="0" fontId="144" applyFont="1" fillId="0" borderId="9" applyBorder="1" xfId="3" applyProtection="1" applyAlignment="1">
      <alignment horizontal="center" vertical="center"/>
    </xf>
    <xf numFmtId="0" fontId="144" applyFont="1" fillId="0" borderId="10" applyBorder="1" xfId="3" applyProtection="1" applyAlignment="1">
      <alignment horizontal="center" vertical="center"/>
    </xf>
    <xf numFmtId="0" fontId="145" applyFont="1" fillId="0" borderId="3" applyBorder="1" xfId="3" applyProtection="1" applyAlignment="1">
      <alignment horizontal="center" vertical="center" wrapText="1"/>
    </xf>
    <xf numFmtId="0" fontId="145" applyFont="1" fillId="0" borderId="0" xfId="3" applyProtection="1" applyAlignment="1">
      <alignment horizontal="center" vertical="center" wrapText="1"/>
    </xf>
    <xf numFmtId="0" fontId="145" applyFont="1" fillId="0" borderId="7" applyBorder="1" xfId="3" applyProtection="1" applyAlignment="1">
      <alignment horizontal="center" vertical="center" wrapText="1"/>
    </xf>
    <xf numFmtId="0" fontId="146" applyFont="1" fillId="0" borderId="3" applyBorder="1" xfId="3" applyProtection="1" applyAlignment="1">
      <alignment horizontal="center" vertical="center" wrapText="1"/>
    </xf>
    <xf numFmtId="0" fontId="146" applyFont="1" fillId="0" borderId="0" xfId="3" applyProtection="1" applyAlignment="1">
      <alignment horizontal="center" vertical="center" wrapText="1"/>
    </xf>
    <xf numFmtId="0" fontId="146" applyFont="1" fillId="0" borderId="7" applyBorder="1" xfId="3" applyProtection="1" applyAlignment="1">
      <alignment horizontal="center" vertical="center" wrapText="1"/>
    </xf>
    <xf numFmtId="0" fontId="4" applyFont="1" fillId="25" applyFill="1" borderId="5" applyBorder="1" xfId="3" applyProtection="1" applyAlignment="1">
      <alignment horizontal="center" vertical="center"/>
    </xf>
    <xf numFmtId="49" applyNumberFormat="1" fontId="102" applyFont="1" fillId="0" borderId="9" applyBorder="1" xfId="3" applyProtection="1" applyAlignment="1">
      <alignment horizontal="center" vertical="center"/>
    </xf>
    <xf numFmtId="49" applyNumberFormat="1" fontId="102" applyFont="1" fillId="0" borderId="10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135" applyFont="1" fillId="25" applyFill="1" borderId="9" applyBorder="1" xfId="3" applyProtection="1" applyAlignment="1">
      <alignment horizontal="center" vertical="center"/>
      <protection locked="0"/>
    </xf>
    <xf numFmtId="0" fontId="135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11" applyBorder="1" xfId="3" applyProtection="1" applyAlignment="1">
      <alignment horizontal="center" vertical="center"/>
      <protection locked="0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0" fontId="129" applyFont="1" fillId="0" borderId="24" applyBorder="1" xfId="3" applyProtection="1" applyAlignment="1">
      <alignment horizontal="center" vertical="center"/>
    </xf>
    <xf numFmtId="4" applyNumberFormat="1" fontId="131" applyFont="1" fillId="0" borderId="23" applyBorder="1" xfId="3" applyProtection="1" applyAlignment="1">
      <alignment horizontal="center" vertical="center"/>
    </xf>
    <xf numFmtId="4" applyNumberFormat="1" fontId="131" applyFont="1" fillId="0" borderId="0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37" applyFont="1" fillId="0" borderId="28" applyBorder="1" xfId="3" applyProtection="1" applyAlignment="1">
      <alignment horizontal="center" vertical="center"/>
    </xf>
    <xf numFmtId="0" fontId="132" applyFont="1" fillId="0" borderId="28" applyBorder="1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27" applyFont="1" fillId="24" applyFill="1" borderId="0" xfId="3" applyProtection="1" applyAlignment="1">
      <alignment horizontal="center" vertical="center"/>
    </xf>
    <xf numFmtId="0" fontId="121" applyFont="1" fillId="24" applyFill="1" borderId="0" xfId="0" applyProtection="1" applyAlignment="1">
      <alignment horizontal="center" vertical="center"/>
    </xf>
    <xf numFmtId="0" fontId="123" applyFont="1" fillId="0" borderId="0" xfId="0" applyProtection="1" applyAlignment="1">
      <alignment horizontal="center" vertical="center" textRotation="255"/>
    </xf>
    <xf numFmtId="0" fontId="124" applyFont="1" fillId="24" applyFill="1" borderId="0" xfId="0" applyProtection="1" applyAlignment="1">
      <alignment horizontal="center" vertical="center"/>
    </xf>
    <xf numFmtId="0" fontId="4" applyFont="1" fillId="24" applyFill="1" borderId="0" xfId="3" applyProtection="1" applyAlignment="1">
      <alignment horizontal="center" vertical="center"/>
    </xf>
    <xf numFmtId="0" fontId="125" applyFont="1" fillId="0" borderId="29" applyBorder="1" xfId="3" applyProtection="1" applyAlignment="1">
      <alignment horizontal="center" vertical="center"/>
    </xf>
    <xf numFmtId="0" fontId="125" applyFont="1" fillId="0" borderId="22" applyBorder="1" xfId="3" applyProtection="1" applyAlignment="1">
      <alignment horizontal="center" vertical="center"/>
    </xf>
    <xf numFmtId="49" applyNumberFormat="1" fontId="126" applyFont="1" fillId="0" borderId="20" applyBorder="1" xfId="3" applyProtection="1" applyAlignment="1">
      <alignment horizontal="center" vertical="center" shrinkToFit="1"/>
    </xf>
    <xf numFmtId="49" applyNumberFormat="1" fontId="126" applyFont="1" fillId="0" borderId="22" applyBorder="1" xfId="3" applyProtection="1" applyAlignment="1">
      <alignment horizontal="center" vertical="center" shrinkToFit="1"/>
    </xf>
    <xf numFmtId="2" applyNumberFormat="1" fontId="126" applyFont="1" fillId="0" borderId="23" applyBorder="1" xfId="3" applyProtection="1" applyAlignment="1">
      <alignment horizontal="center" vertical="center" wrapText="1" shrinkToFit="1"/>
    </xf>
    <xf numFmtId="2" applyNumberFormat="1" fontId="126" applyFont="1" fillId="0" borderId="0" xfId="3" applyProtection="1" applyAlignment="1">
      <alignment horizontal="center" vertical="center" wrapText="1" shrinkToFit="1"/>
    </xf>
    <xf numFmtId="3" applyNumberFormat="1" fontId="132" applyFont="1" fillId="0" borderId="0" xfId="3" applyProtection="1" applyAlignment="1">
      <alignment horizontal="center" vertical="center" shrinkToFit="1"/>
    </xf>
    <xf numFmtId="165" applyNumberFormat="1" fontId="140" applyFont="1" fillId="0" borderId="28" applyBorder="1" xfId="3" applyProtection="1" applyAlignment="1">
      <alignment horizontal="center" vertical="center" shrinkToFit="1"/>
    </xf>
    <xf numFmtId="0" fontId="141" applyFont="1" fillId="24" applyFill="1" borderId="0" xfId="0" applyProtection="1" applyAlignment="1">
      <alignment horizontal="center" vertical="center"/>
    </xf>
    <xf numFmtId="0" fontId="129" applyFont="1" fillId="0" borderId="0" xfId="3" applyProtection="1" applyAlignment="1">
      <alignment horizontal="center" vertical="center" wrapText="1"/>
    </xf>
    <xf numFmtId="0" fontId="117" applyFont="1" fillId="0" borderId="0" xfId="0" applyProtection="1" applyAlignment="1">
      <alignment horizontal="center" vertical="center"/>
    </xf>
    <xf numFmtId="1" applyNumberFormat="1" fontId="117" applyFont="1" fillId="0" borderId="0" xfId="0" applyProtection="1" applyAlignment="1">
      <alignment horizontal="center" vertical="center"/>
    </xf>
    <xf numFmtId="0" fontId="120" applyFont="1" fillId="24" applyFill="1" borderId="0" xfId="0" applyProtection="1" applyAlignment="1">
      <alignment horizontal="center" vertical="center"/>
    </xf>
    <xf numFmtId="0" fontId="4" applyFont="1" fillId="0" borderId="1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3" applyFill="1" borderId="1" applyBorder="1" xfId="3" applyProtection="1" applyAlignment="1">
      <alignment horizontal="center"/>
    </xf>
    <xf numFmtId="0" fontId="4" applyFont="1" fillId="3" applyFill="1" borderId="2" applyBorder="1" xfId="3" applyProtection="1" applyAlignment="1">
      <alignment horizontal="center"/>
    </xf>
    <xf numFmtId="0" fontId="4" applyFont="1" fillId="3" applyFill="1" borderId="6" applyBorder="1" xfId="3" applyProtection="1" applyAlignment="1">
      <alignment horizontal="center"/>
    </xf>
    <xf numFmtId="0" fontId="4" applyFont="1" fillId="0" borderId="20" applyBorder="1" xfId="3" applyProtection="1" applyAlignment="1">
      <alignment horizontal="center"/>
      <protection locked="0"/>
    </xf>
    <xf numFmtId="0" fontId="4" applyFont="1" fillId="0" borderId="21" applyBorder="1" xfId="3" applyProtection="1" applyAlignment="1">
      <alignment horizontal="center"/>
      <protection locked="0"/>
    </xf>
    <xf numFmtId="0" fontId="4" applyFont="1" fillId="0" borderId="22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25" applyBorder="1" xfId="3" applyProtection="1" applyAlignment="1">
      <alignment horizontal="center"/>
      <protection locked="0"/>
    </xf>
    <xf numFmtId="0" fontId="4" applyFont="1" fillId="0" borderId="26" applyBorder="1" xfId="3" applyProtection="1" applyAlignment="1">
      <alignment horizontal="center"/>
      <protection locked="0"/>
    </xf>
    <xf numFmtId="0" fontId="5" applyFont="1" fillId="0" borderId="23" applyBorder="1" xfId="3" applyProtection="1" applyAlignment="1">
      <alignment horizontal="center"/>
      <protection locked="0"/>
    </xf>
    <xf numFmtId="0" fontId="5" applyFont="1" fillId="0" borderId="0" xfId="3" applyProtection="1" applyAlignment="1">
      <alignment horizontal="center"/>
      <protection locked="0"/>
    </xf>
    <xf numFmtId="0" fontId="4" applyFont="1" fillId="2" applyFill="1" borderId="1" applyBorder="1" xfId="3" applyProtection="1" applyAlignment="1">
      <alignment horizontal="center" vertical="center" wrapText="1"/>
    </xf>
    <xf numFmtId="0" fontId="4" applyFont="1" fillId="2" applyFill="1" borderId="2" applyBorder="1" xfId="3" applyProtection="1" applyAlignment="1">
      <alignment horizontal="center" vertical="center" wrapText="1"/>
    </xf>
    <xf numFmtId="0" fontId="4" applyFont="1" fillId="2" applyFill="1" borderId="3" applyBorder="1" xfId="3" applyProtection="1" applyAlignment="1">
      <alignment horizontal="center" vertical="center" wrapText="1"/>
    </xf>
    <xf numFmtId="0" fontId="4" applyFont="1" fillId="2" applyFill="1" borderId="0" xfId="3" applyProtection="1" applyAlignment="1">
      <alignment horizontal="center" vertical="center" wrapText="1"/>
    </xf>
    <xf numFmtId="0" fontId="4" applyFont="1" fillId="2" applyFill="1" borderId="4" applyBorder="1" xfId="3" applyProtection="1" applyAlignment="1">
      <alignment horizontal="center" vertical="center" wrapText="1"/>
    </xf>
    <xf numFmtId="0" fontId="4" applyFont="1" fillId="2" applyFill="1" borderId="5" applyBorder="1" xfId="3" applyProtection="1" applyAlignment="1">
      <alignment horizontal="center" vertical="center" wrapText="1"/>
    </xf>
    <xf numFmtId="0" fontId="4" applyFont="1" fillId="3" applyFill="1" borderId="1" applyBorder="1" xfId="3" applyProtection="1" applyAlignment="1">
      <alignment horizontal="center" vertical="center" wrapText="1"/>
    </xf>
    <xf numFmtId="0" fontId="4" applyFont="1" fillId="3" applyFill="1" borderId="2" applyBorder="1" xfId="3" applyProtection="1" applyAlignment="1">
      <alignment horizontal="center" vertical="center" wrapText="1"/>
    </xf>
    <xf numFmtId="0" fontId="4" applyFont="1" fillId="3" applyFill="1" borderId="3" applyBorder="1" xfId="3" applyProtection="1" applyAlignment="1">
      <alignment horizontal="center" vertical="center" wrapText="1"/>
    </xf>
    <xf numFmtId="0" fontId="4" applyFont="1" fillId="3" applyFill="1" borderId="0" xfId="3" applyProtection="1" applyAlignment="1">
      <alignment horizontal="center" vertical="center" wrapText="1"/>
    </xf>
    <xf numFmtId="0" fontId="4" applyFont="1" fillId="3" applyFill="1" borderId="4" applyBorder="1" xfId="3" applyProtection="1" applyAlignment="1">
      <alignment horizontal="center" vertical="center" wrapText="1"/>
    </xf>
    <xf numFmtId="0" fontId="4" applyFont="1" fillId="3" applyFill="1" borderId="5" applyBorder="1" xfId="3" applyProtection="1" applyAlignment="1">
      <alignment horizontal="center" vertical="center" wrapText="1"/>
    </xf>
    <xf numFmtId="0" fontId="4" applyFont="1" fillId="4" applyFill="1" borderId="1" applyBorder="1" xfId="3" applyProtection="1" applyAlignment="1">
      <alignment horizontal="center" vertical="center" wrapText="1"/>
    </xf>
    <xf numFmtId="0" fontId="4" applyFont="1" fillId="4" applyFill="1" borderId="2" applyBorder="1" xfId="3" applyProtection="1" applyAlignment="1">
      <alignment horizontal="center" vertical="center" wrapText="1"/>
    </xf>
    <xf numFmtId="0" fontId="4" applyFont="1" fillId="4" applyFill="1" borderId="3" applyBorder="1" xfId="3" applyProtection="1" applyAlignment="1">
      <alignment horizontal="center" vertical="center" wrapText="1"/>
    </xf>
    <xf numFmtId="0" fontId="4" applyFont="1" fillId="4" applyFill="1" borderId="0" xfId="3" applyProtection="1" applyAlignment="1">
      <alignment horizontal="center" vertical="center" wrapText="1"/>
    </xf>
    <xf numFmtId="0" fontId="4" applyFont="1" fillId="4" applyFill="1" borderId="4" applyBorder="1" xfId="3" applyProtection="1" applyAlignment="1">
      <alignment horizontal="center" vertical="center" wrapText="1"/>
    </xf>
    <xf numFmtId="0" fontId="4" applyFont="1" fillId="4" applyFill="1" borderId="5" applyBorder="1" xfId="3" applyProtection="1" applyAlignment="1">
      <alignment horizontal="center" vertical="center" wrapText="1"/>
    </xf>
    <xf numFmtId="0" fontId="4" applyFont="1" fillId="0" borderId="0" xfId="3" applyProtection="1" applyAlignment="1">
      <alignment horizontal="center" vertical="center"/>
    </xf>
    <xf numFmtId="0" fontId="4" applyFont="1" fillId="0" borderId="7" applyBorder="1" xfId="3" applyProtection="1" applyAlignment="1">
      <alignment horizontal="center" vertical="center"/>
    </xf>
    <xf numFmtId="43" applyNumberFormat="1" fontId="88" applyFont="1" fillId="7" applyFill="1" borderId="21" applyBorder="1" xfId="1" applyProtection="1" applyAlignment="1">
      <alignment horizontal="center"/>
    </xf>
    <xf numFmtId="0" fontId="56" applyFont="1" fillId="16" applyFill="1" borderId="59" applyBorder="1" xfId="0" applyProtection="1" applyAlignment="1">
      <alignment vertical="center"/>
    </xf>
    <xf numFmtId="0" fontId="0" fillId="0" borderId="0" xfId="0" applyProtection="1"/>
    <xf numFmtId="0" fontId="58" applyFont="1" fillId="0" borderId="0" xfId="0" applyProtection="1"/>
    <xf numFmtId="3" applyNumberFormat="1" fontId="58" applyFont="1" fillId="0" borderId="0" xfId="0" applyProtection="1"/>
    <xf numFmtId="3" applyNumberFormat="1" fontId="152" applyFont="1" fillId="0" borderId="0" xfId="0" applyProtection="1" applyAlignment="1">
      <alignment vertical="center"/>
    </xf>
    <xf numFmtId="3" applyNumberFormat="1" fontId="58" applyFont="1" fillId="0" borderId="0" xfId="0" applyProtection="1"/>
    <xf numFmtId="0" fontId="0" fillId="0" borderId="0" xfId="0" applyProtection="1"/>
    <xf numFmtId="0" fontId="83" applyFont="1" fillId="0" borderId="0" xfId="0" applyProtection="1" applyAlignment="1">
      <alignment vertical="center"/>
    </xf>
    <xf numFmtId="0" fontId="83" applyFont="1" fillId="0" borderId="0" xfId="0" applyProtection="1" applyAlignment="1">
      <alignment vertical="center" wrapText="1"/>
    </xf>
    <xf numFmtId="0" fontId="84" applyFont="1" fillId="0" borderId="0" xfId="0" applyProtection="1" applyAlignment="1">
      <alignment vertical="center"/>
    </xf>
    <xf numFmtId="0" fontId="85" applyFont="1" fillId="0" borderId="0" xfId="0" applyProtection="1" applyAlignment="1">
      <alignment vertical="center"/>
    </xf>
    <xf numFmtId="0" fontId="119" applyFont="1" fillId="0" borderId="0" xfId="0" applyProtection="1" applyAlignment="1">
      <alignment vertical="center" wrapText="1"/>
    </xf>
    <xf numFmtId="43" applyNumberFormat="1" fontId="86" applyFont="1" fillId="0" borderId="0" xfId="1" applyProtection="1" applyAlignment="1">
      <alignment vertical="center"/>
    </xf>
    <xf numFmtId="0" fontId="79" applyFont="1" fillId="0" borderId="0" xfId="0" applyProtection="1"/>
    <xf numFmtId="0" fontId="73" applyFont="1" fillId="0" borderId="0" xfId="0" applyProtection="1" applyAlignment="1">
      <alignment vertical="center"/>
    </xf>
    <xf numFmtId="0" fontId="1" applyFont="1" fillId="0" borderId="0" xfId="0" applyProtection="1"/>
    <xf numFmtId="0" fontId="153" applyFont="1" fillId="0" borderId="0" xfId="0" applyAlignment="1">
      <alignment horizontal="center" vertical="center"/>
      <protection hidden="1"/>
    </xf>
    <xf numFmtId="0" fontId="154" applyFont="1" fillId="0" borderId="0" xfId="0" applyAlignment="1">
      <alignment horizontal="center" vertical="center"/>
      <protection hidden="1"/>
    </xf>
    <xf numFmtId="0" fontId="154" applyFont="1" fillId="0" borderId="0" xfId="0" applyAlignment="1">
      <alignment horizontal="center" vertical="center"/>
      <protection hidden="1"/>
    </xf>
    <xf numFmtId="0" fontId="154" applyFont="1" fillId="0" borderId="0" xfId="0">
      <protection hidden="1"/>
    </xf>
    <xf numFmtId="0" fontId="155" applyFont="1" fillId="0" borderId="0" xfId="0" applyProtection="1" applyAlignment="1">
      <alignment horizontal="center" vertical="center"/>
    </xf>
    <xf numFmtId="0" fontId="156" applyFont="1" fillId="0" borderId="0" xfId="0" applyProtection="1" applyAlignment="1">
      <alignment vertical="center"/>
    </xf>
    <xf numFmtId="0" fontId="1" applyFont="1" fillId="0" borderId="0" xfId="0" applyProtection="1" applyAlignment="1">
      <alignment horizontal="center" vertical="center"/>
    </xf>
    <xf numFmtId="43" applyNumberFormat="1" fontId="35" applyFont="1" fillId="0" borderId="0" xfId="0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15">
    <dxf>
      <numFmt numFmtId="1" formatCode="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4"/>
      </font>
      <alignment horizontal="center" vertical="center" indent="0" justifyLastLine="0" readingOrder="0"/>
    </dxf>
    <dxf>
      <border outline="0">
        <left style="thin">
          <color auto="1"/>
        </left>
        <top style="thin">
          <color indexed="64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18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19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21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22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23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24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25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26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27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28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29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31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32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33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34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35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36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37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38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39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40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41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42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43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44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45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46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47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48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49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50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51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52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53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54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55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56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57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58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59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60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61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62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63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64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1266825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1</xdr:col>
          <xdr:colOff>1771650</xdr:colOff>
          <xdr:row>104</xdr:row>
          <xdr:rowOff>144780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B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22860</xdr:rowOff>
        </xdr:from>
        <xdr:to>
          <xdr:col>1</xdr:col>
          <xdr:colOff>1771650</xdr:colOff>
          <xdr:row>106</xdr:row>
          <xdr:rowOff>45720</xdr:rowOff>
        </xdr:to>
        <xdr:sp macro="" textlink="">
          <xdr:nvSpPr>
            <xdr:cNvPr id="57346" name="Drop Dow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B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22860</xdr:rowOff>
        </xdr:from>
        <xdr:to>
          <xdr:col>1</xdr:col>
          <xdr:colOff>1771650</xdr:colOff>
          <xdr:row>107</xdr:row>
          <xdr:rowOff>45720</xdr:rowOff>
        </xdr:to>
        <xdr:sp macro="" textlink="">
          <xdr:nvSpPr>
            <xdr:cNvPr id="57347" name="Drop Down 3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B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110</xdr:row>
          <xdr:rowOff>7620</xdr:rowOff>
        </xdr:from>
        <xdr:to>
          <xdr:col>1</xdr:col>
          <xdr:colOff>1781175</xdr:colOff>
          <xdr:row>110</xdr:row>
          <xdr:rowOff>144780</xdr:rowOff>
        </xdr:to>
        <xdr:sp macro="" textlink="">
          <xdr:nvSpPr>
            <xdr:cNvPr id="57348" name="Drop Down 4" hidden="1">
              <a:extLst>
                <a:ext uri="{63B3BB69-23CF-44E3-9099-C40C66FF867C}">
                  <a14:compatExt spid="_x0000_s57348"/>
                </a:ext>
                <a:ext uri="{FF2B5EF4-FFF2-40B4-BE49-F238E27FC236}">
                  <a16:creationId xmlns:a16="http://schemas.microsoft.com/office/drawing/2014/main" id="{00000000-0008-0000-0B00-00000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7620</xdr:rowOff>
        </xdr:from>
        <xdr:to>
          <xdr:col>1</xdr:col>
          <xdr:colOff>1781175</xdr:colOff>
          <xdr:row>111</xdr:row>
          <xdr:rowOff>144780</xdr:rowOff>
        </xdr:to>
        <xdr:sp macro="" textlink="">
          <xdr:nvSpPr>
            <xdr:cNvPr id="57349" name="Drop Down 5" hidden="1">
              <a:extLst>
                <a:ext uri="{63B3BB69-23CF-44E3-9099-C40C66FF867C}">
                  <a14:compatExt spid="_x0000_s57349"/>
                </a:ext>
                <a:ext uri="{FF2B5EF4-FFF2-40B4-BE49-F238E27FC236}">
                  <a16:creationId xmlns:a16="http://schemas.microsoft.com/office/drawing/2014/main" id="{00000000-0008-0000-0B00-00000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22860</xdr:rowOff>
        </xdr:from>
        <xdr:to>
          <xdr:col>1</xdr:col>
          <xdr:colOff>1781175</xdr:colOff>
          <xdr:row>115</xdr:row>
          <xdr:rowOff>99059</xdr:rowOff>
        </xdr:to>
        <xdr:sp macro="" textlink="">
          <xdr:nvSpPr>
            <xdr:cNvPr id="57350" name="Drop Down 6" hidden="1">
              <a:extLst>
                <a:ext uri="{63B3BB69-23CF-44E3-9099-C40C66FF867C}">
                  <a14:compatExt spid="_x0000_s57350"/>
                </a:ext>
                <a:ext uri="{FF2B5EF4-FFF2-40B4-BE49-F238E27FC236}">
                  <a16:creationId xmlns:a16="http://schemas.microsoft.com/office/drawing/2014/main" id="{00000000-0008-0000-0B00-00000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22860</xdr:rowOff>
        </xdr:from>
        <xdr:to>
          <xdr:col>1</xdr:col>
          <xdr:colOff>1781175</xdr:colOff>
          <xdr:row>116</xdr:row>
          <xdr:rowOff>99059</xdr:rowOff>
        </xdr:to>
        <xdr:sp macro="" textlink="">
          <xdr:nvSpPr>
            <xdr:cNvPr id="57351" name="Drop Down 7" hidden="1">
              <a:extLst>
                <a:ext uri="{63B3BB69-23CF-44E3-9099-C40C66FF867C}">
                  <a14:compatExt spid="_x0000_s57351"/>
                </a:ext>
                <a:ext uri="{FF2B5EF4-FFF2-40B4-BE49-F238E27FC236}">
                  <a16:creationId xmlns:a16="http://schemas.microsoft.com/office/drawing/2014/main" id="{00000000-0008-0000-0B00-00000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1781175</xdr:colOff>
          <xdr:row>116</xdr:row>
          <xdr:rowOff>144780</xdr:rowOff>
        </xdr:to>
        <xdr:sp macro="" textlink="">
          <xdr:nvSpPr>
            <xdr:cNvPr id="57352" name="Drop Down 8" hidden="1">
              <a:extLst>
                <a:ext uri="{63B3BB69-23CF-44E3-9099-C40C66FF867C}">
                  <a14:compatExt spid="_x0000_s57352"/>
                </a:ext>
                <a:ext uri="{FF2B5EF4-FFF2-40B4-BE49-F238E27FC236}">
                  <a16:creationId xmlns:a16="http://schemas.microsoft.com/office/drawing/2014/main" id="{00000000-0008-0000-0B00-00000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22860</xdr:rowOff>
        </xdr:from>
        <xdr:to>
          <xdr:col>1</xdr:col>
          <xdr:colOff>1781175</xdr:colOff>
          <xdr:row>114</xdr:row>
          <xdr:rowOff>99059</xdr:rowOff>
        </xdr:to>
        <xdr:sp macro="" textlink="">
          <xdr:nvSpPr>
            <xdr:cNvPr id="57353" name="Drop Down 9" hidden="1">
              <a:extLst>
                <a:ext uri="{63B3BB69-23CF-44E3-9099-C40C66FF867C}">
                  <a14:compatExt spid="_x0000_s57353"/>
                </a:ext>
                <a:ext uri="{FF2B5EF4-FFF2-40B4-BE49-F238E27FC236}">
                  <a16:creationId xmlns:a16="http://schemas.microsoft.com/office/drawing/2014/main" id="{00000000-0008-0000-0B00-00000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128</xdr:row>
          <xdr:rowOff>22860</xdr:rowOff>
        </xdr:from>
        <xdr:to>
          <xdr:col>1</xdr:col>
          <xdr:colOff>1771650</xdr:colOff>
          <xdr:row>129</xdr:row>
          <xdr:rowOff>99059</xdr:rowOff>
        </xdr:to>
        <xdr:sp macro="" textlink="">
          <xdr:nvSpPr>
            <xdr:cNvPr id="57354" name="Drop Down 10" hidden="1">
              <a:extLst>
                <a:ext uri="{63B3BB69-23CF-44E3-9099-C40C66FF867C}">
                  <a14:compatExt spid="_x0000_s57354"/>
                </a:ext>
                <a:ext uri="{FF2B5EF4-FFF2-40B4-BE49-F238E27FC236}">
                  <a16:creationId xmlns:a16="http://schemas.microsoft.com/office/drawing/2014/main" id="{00000000-0008-0000-0B00-00000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129</xdr:row>
          <xdr:rowOff>7620</xdr:rowOff>
        </xdr:from>
        <xdr:to>
          <xdr:col>1</xdr:col>
          <xdr:colOff>1771650</xdr:colOff>
          <xdr:row>129</xdr:row>
          <xdr:rowOff>144780</xdr:rowOff>
        </xdr:to>
        <xdr:sp macro="" textlink="">
          <xdr:nvSpPr>
            <xdr:cNvPr id="57355" name="Drop Down 11" hidden="1">
              <a:extLst>
                <a:ext uri="{63B3BB69-23CF-44E3-9099-C40C66FF867C}">
                  <a14:compatExt spid="_x0000_s57355"/>
                </a:ext>
                <a:ext uri="{FF2B5EF4-FFF2-40B4-BE49-F238E27FC236}">
                  <a16:creationId xmlns:a16="http://schemas.microsoft.com/office/drawing/2014/main" id="{00000000-0008-0000-0B00-00000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130</xdr:row>
          <xdr:rowOff>7620</xdr:rowOff>
        </xdr:from>
        <xdr:to>
          <xdr:col>1</xdr:col>
          <xdr:colOff>1771650</xdr:colOff>
          <xdr:row>130</xdr:row>
          <xdr:rowOff>144780</xdr:rowOff>
        </xdr:to>
        <xdr:sp macro="" textlink="">
          <xdr:nvSpPr>
            <xdr:cNvPr id="57356" name="Drop Down 12" hidden="1">
              <a:extLst>
                <a:ext uri="{63B3BB69-23CF-44E3-9099-C40C66FF867C}">
                  <a14:compatExt spid="_x0000_s57356"/>
                </a:ext>
                <a:ext uri="{FF2B5EF4-FFF2-40B4-BE49-F238E27FC236}">
                  <a16:creationId xmlns:a16="http://schemas.microsoft.com/office/drawing/2014/main" id="{00000000-0008-0000-0B00-00000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0</xdr:col>
          <xdr:colOff>571500</xdr:colOff>
          <xdr:row>104</xdr:row>
          <xdr:rowOff>144780</xdr:rowOff>
        </xdr:to>
        <xdr:sp macro="" textlink="">
          <xdr:nvSpPr>
            <xdr:cNvPr id="57357" name="Drop Down 13" hidden="1">
              <a:extLst>
                <a:ext uri="{63B3BB69-23CF-44E3-9099-C40C66FF867C}">
                  <a14:compatExt spid="_x0000_s57357"/>
                </a:ext>
                <a:ext uri="{FF2B5EF4-FFF2-40B4-BE49-F238E27FC236}">
                  <a16:creationId xmlns:a16="http://schemas.microsoft.com/office/drawing/2014/main" id="{00000000-0008-0000-0B00-00000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666750</xdr:colOff>
          <xdr:row>116</xdr:row>
          <xdr:rowOff>144780</xdr:rowOff>
        </xdr:to>
        <xdr:sp macro="" textlink="">
          <xdr:nvSpPr>
            <xdr:cNvPr id="57358" name="Drop Down 14" hidden="1">
              <a:extLst>
                <a:ext uri="{63B3BB69-23CF-44E3-9099-C40C66FF867C}">
                  <a14:compatExt spid="_x0000_s57358"/>
                </a:ext>
                <a:ext uri="{FF2B5EF4-FFF2-40B4-BE49-F238E27FC236}">
                  <a16:creationId xmlns:a16="http://schemas.microsoft.com/office/drawing/2014/main" id="{00000000-0008-0000-0B00-00000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117</xdr:row>
          <xdr:rowOff>22860</xdr:rowOff>
        </xdr:from>
        <xdr:to>
          <xdr:col>1</xdr:col>
          <xdr:colOff>666750</xdr:colOff>
          <xdr:row>118</xdr:row>
          <xdr:rowOff>99059</xdr:rowOff>
        </xdr:to>
        <xdr:sp macro="" textlink="">
          <xdr:nvSpPr>
            <xdr:cNvPr id="57359" name="Drop Down 15" hidden="1">
              <a:extLst>
                <a:ext uri="{63B3BB69-23CF-44E3-9099-C40C66FF867C}">
                  <a14:compatExt spid="_x0000_s57359"/>
                </a:ext>
                <a:ext uri="{FF2B5EF4-FFF2-40B4-BE49-F238E27FC236}">
                  <a16:creationId xmlns:a16="http://schemas.microsoft.com/office/drawing/2014/main" id="{00000000-0008-0000-0B00-00000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131</xdr:row>
          <xdr:rowOff>7620</xdr:rowOff>
        </xdr:from>
        <xdr:to>
          <xdr:col>1</xdr:col>
          <xdr:colOff>1771650</xdr:colOff>
          <xdr:row>131</xdr:row>
          <xdr:rowOff>144780</xdr:rowOff>
        </xdr:to>
        <xdr:sp macro="" textlink="">
          <xdr:nvSpPr>
            <xdr:cNvPr id="57360" name="Drop Down 16" hidden="1">
              <a:extLst>
                <a:ext uri="{63B3BB69-23CF-44E3-9099-C40C66FF867C}">
                  <a14:compatExt spid="_x0000_s57360"/>
                </a:ext>
                <a:ext uri="{FF2B5EF4-FFF2-40B4-BE49-F238E27FC236}">
                  <a16:creationId xmlns:a16="http://schemas.microsoft.com/office/drawing/2014/main" id="{00000000-0008-0000-0B00-00001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105</xdr:row>
          <xdr:rowOff>7620</xdr:rowOff>
        </xdr:from>
        <xdr:to>
          <xdr:col>5</xdr:col>
          <xdr:colOff>0</xdr:colOff>
          <xdr:row>105</xdr:row>
          <xdr:rowOff>144780</xdr:rowOff>
        </xdr:to>
        <xdr:sp macro="" textlink="">
          <xdr:nvSpPr>
            <xdr:cNvPr id="57361" name="Drop Down 17" hidden="1">
              <a:extLst>
                <a:ext uri="{63B3BB69-23CF-44E3-9099-C40C66FF867C}">
                  <a14:compatExt spid="_x0000_s57361"/>
                </a:ext>
                <a:ext uri="{FF2B5EF4-FFF2-40B4-BE49-F238E27FC236}">
                  <a16:creationId xmlns:a16="http://schemas.microsoft.com/office/drawing/2014/main" id="{00000000-0008-0000-0B00-00001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106</xdr:row>
          <xdr:rowOff>22860</xdr:rowOff>
        </xdr:from>
        <xdr:to>
          <xdr:col>5</xdr:col>
          <xdr:colOff>0</xdr:colOff>
          <xdr:row>107</xdr:row>
          <xdr:rowOff>45720</xdr:rowOff>
        </xdr:to>
        <xdr:sp macro="" textlink="">
          <xdr:nvSpPr>
            <xdr:cNvPr id="57362" name="Drop Down 18" hidden="1">
              <a:extLst>
                <a:ext uri="{63B3BB69-23CF-44E3-9099-C40C66FF867C}">
                  <a14:compatExt spid="_x0000_s57362"/>
                </a:ext>
                <a:ext uri="{FF2B5EF4-FFF2-40B4-BE49-F238E27FC236}">
                  <a16:creationId xmlns:a16="http://schemas.microsoft.com/office/drawing/2014/main" id="{00000000-0008-0000-0B00-00001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107</xdr:row>
          <xdr:rowOff>22860</xdr:rowOff>
        </xdr:from>
        <xdr:to>
          <xdr:col>5</xdr:col>
          <xdr:colOff>0</xdr:colOff>
          <xdr:row>108</xdr:row>
          <xdr:rowOff>45720</xdr:rowOff>
        </xdr:to>
        <xdr:sp macro="" textlink="">
          <xdr:nvSpPr>
            <xdr:cNvPr id="57363" name="Drop Down 19" hidden="1">
              <a:extLst>
                <a:ext uri="{63B3BB69-23CF-44E3-9099-C40C66FF867C}">
                  <a14:compatExt spid="_x0000_s57363"/>
                </a:ext>
                <a:ext uri="{FF2B5EF4-FFF2-40B4-BE49-F238E27FC236}">
                  <a16:creationId xmlns:a16="http://schemas.microsoft.com/office/drawing/2014/main" id="{00000000-0008-0000-0B00-00001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111</xdr:row>
          <xdr:rowOff>7620</xdr:rowOff>
        </xdr:from>
        <xdr:to>
          <xdr:col>5</xdr:col>
          <xdr:colOff>0</xdr:colOff>
          <xdr:row>111</xdr:row>
          <xdr:rowOff>144780</xdr:rowOff>
        </xdr:to>
        <xdr:sp macro="" textlink="">
          <xdr:nvSpPr>
            <xdr:cNvPr id="57364" name="Drop Down 20" hidden="1">
              <a:extLst>
                <a:ext uri="{63B3BB69-23CF-44E3-9099-C40C66FF867C}">
                  <a14:compatExt spid="_x0000_s57364"/>
                </a:ext>
                <a:ext uri="{FF2B5EF4-FFF2-40B4-BE49-F238E27FC236}">
                  <a16:creationId xmlns:a16="http://schemas.microsoft.com/office/drawing/2014/main" id="{00000000-0008-0000-0B00-00001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112</xdr:row>
          <xdr:rowOff>7620</xdr:rowOff>
        </xdr:from>
        <xdr:to>
          <xdr:col>5</xdr:col>
          <xdr:colOff>0</xdr:colOff>
          <xdr:row>112</xdr:row>
          <xdr:rowOff>144780</xdr:rowOff>
        </xdr:to>
        <xdr:sp macro="" textlink="">
          <xdr:nvSpPr>
            <xdr:cNvPr id="57365" name="Drop Down 21" hidden="1">
              <a:extLst>
                <a:ext uri="{63B3BB69-23CF-44E3-9099-C40C66FF867C}">
                  <a14:compatExt spid="_x0000_s57365"/>
                </a:ext>
                <a:ext uri="{FF2B5EF4-FFF2-40B4-BE49-F238E27FC236}">
                  <a16:creationId xmlns:a16="http://schemas.microsoft.com/office/drawing/2014/main" id="{00000000-0008-0000-0B00-00001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115</xdr:row>
          <xdr:rowOff>22860</xdr:rowOff>
        </xdr:from>
        <xdr:to>
          <xdr:col>5</xdr:col>
          <xdr:colOff>0</xdr:colOff>
          <xdr:row>116</xdr:row>
          <xdr:rowOff>99059</xdr:rowOff>
        </xdr:to>
        <xdr:sp macro="" textlink="">
          <xdr:nvSpPr>
            <xdr:cNvPr id="57366" name="Drop Down 22" hidden="1">
              <a:extLst>
                <a:ext uri="{63B3BB69-23CF-44E3-9099-C40C66FF867C}">
                  <a14:compatExt spid="_x0000_s57366"/>
                </a:ext>
                <a:ext uri="{FF2B5EF4-FFF2-40B4-BE49-F238E27FC236}">
                  <a16:creationId xmlns:a16="http://schemas.microsoft.com/office/drawing/2014/main" id="{00000000-0008-0000-0B00-00001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116</xdr:row>
          <xdr:rowOff>22860</xdr:rowOff>
        </xdr:from>
        <xdr:to>
          <xdr:col>5</xdr:col>
          <xdr:colOff>0</xdr:colOff>
          <xdr:row>117</xdr:row>
          <xdr:rowOff>99059</xdr:rowOff>
        </xdr:to>
        <xdr:sp macro="" textlink="">
          <xdr:nvSpPr>
            <xdr:cNvPr id="57367" name="Drop Down 23" hidden="1">
              <a:extLst>
                <a:ext uri="{63B3BB69-23CF-44E3-9099-C40C66FF867C}">
                  <a14:compatExt spid="_x0000_s57367"/>
                </a:ext>
                <a:ext uri="{FF2B5EF4-FFF2-40B4-BE49-F238E27FC236}">
                  <a16:creationId xmlns:a16="http://schemas.microsoft.com/office/drawing/2014/main" id="{00000000-0008-0000-0B00-00001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117</xdr:row>
          <xdr:rowOff>7620</xdr:rowOff>
        </xdr:from>
        <xdr:to>
          <xdr:col>5</xdr:col>
          <xdr:colOff>0</xdr:colOff>
          <xdr:row>117</xdr:row>
          <xdr:rowOff>144780</xdr:rowOff>
        </xdr:to>
        <xdr:sp macro="" textlink="">
          <xdr:nvSpPr>
            <xdr:cNvPr id="57368" name="Drop Down 24" hidden="1">
              <a:extLst>
                <a:ext uri="{63B3BB69-23CF-44E3-9099-C40C66FF867C}">
                  <a14:compatExt spid="_x0000_s57368"/>
                </a:ext>
                <a:ext uri="{FF2B5EF4-FFF2-40B4-BE49-F238E27FC236}">
                  <a16:creationId xmlns:a16="http://schemas.microsoft.com/office/drawing/2014/main" id="{00000000-0008-0000-0B00-00001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22860</xdr:rowOff>
        </xdr:from>
        <xdr:to>
          <xdr:col>5</xdr:col>
          <xdr:colOff>0</xdr:colOff>
          <xdr:row>115</xdr:row>
          <xdr:rowOff>99059</xdr:rowOff>
        </xdr:to>
        <xdr:sp macro="" textlink="">
          <xdr:nvSpPr>
            <xdr:cNvPr id="57369" name="Drop Down 25" hidden="1">
              <a:extLst>
                <a:ext uri="{63B3BB69-23CF-44E3-9099-C40C66FF867C}">
                  <a14:compatExt spid="_x0000_s57369"/>
                </a:ext>
                <a:ext uri="{FF2B5EF4-FFF2-40B4-BE49-F238E27FC236}">
                  <a16:creationId xmlns:a16="http://schemas.microsoft.com/office/drawing/2014/main" id="{00000000-0008-0000-0B00-00001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129</xdr:row>
          <xdr:rowOff>22860</xdr:rowOff>
        </xdr:from>
        <xdr:to>
          <xdr:col>5</xdr:col>
          <xdr:colOff>0</xdr:colOff>
          <xdr:row>130</xdr:row>
          <xdr:rowOff>99059</xdr:rowOff>
        </xdr:to>
        <xdr:sp macro="" textlink="">
          <xdr:nvSpPr>
            <xdr:cNvPr id="57370" name="Drop Down 26" hidden="1">
              <a:extLst>
                <a:ext uri="{63B3BB69-23CF-44E3-9099-C40C66FF867C}">
                  <a14:compatExt spid="_x0000_s57370"/>
                </a:ext>
                <a:ext uri="{FF2B5EF4-FFF2-40B4-BE49-F238E27FC236}">
                  <a16:creationId xmlns:a16="http://schemas.microsoft.com/office/drawing/2014/main" id="{00000000-0008-0000-0B00-00001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130</xdr:row>
          <xdr:rowOff>7620</xdr:rowOff>
        </xdr:from>
        <xdr:to>
          <xdr:col>5</xdr:col>
          <xdr:colOff>0</xdr:colOff>
          <xdr:row>130</xdr:row>
          <xdr:rowOff>144780</xdr:rowOff>
        </xdr:to>
        <xdr:sp macro="" textlink="">
          <xdr:nvSpPr>
            <xdr:cNvPr id="57371" name="Drop Down 27" hidden="1">
              <a:extLst>
                <a:ext uri="{63B3BB69-23CF-44E3-9099-C40C66FF867C}">
                  <a14:compatExt spid="_x0000_s57371"/>
                </a:ext>
                <a:ext uri="{FF2B5EF4-FFF2-40B4-BE49-F238E27FC236}">
                  <a16:creationId xmlns:a16="http://schemas.microsoft.com/office/drawing/2014/main" id="{00000000-0008-0000-0B00-00001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131</xdr:row>
          <xdr:rowOff>7620</xdr:rowOff>
        </xdr:from>
        <xdr:to>
          <xdr:col>5</xdr:col>
          <xdr:colOff>0</xdr:colOff>
          <xdr:row>131</xdr:row>
          <xdr:rowOff>144780</xdr:rowOff>
        </xdr:to>
        <xdr:sp macro="" textlink="">
          <xdr:nvSpPr>
            <xdr:cNvPr id="57372" name="Drop Down 28" hidden="1">
              <a:extLst>
                <a:ext uri="{63B3BB69-23CF-44E3-9099-C40C66FF867C}">
                  <a14:compatExt spid="_x0000_s57372"/>
                </a:ext>
                <a:ext uri="{FF2B5EF4-FFF2-40B4-BE49-F238E27FC236}">
                  <a16:creationId xmlns:a16="http://schemas.microsoft.com/office/drawing/2014/main" id="{00000000-0008-0000-0B00-00001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105</xdr:row>
          <xdr:rowOff>7620</xdr:rowOff>
        </xdr:from>
        <xdr:to>
          <xdr:col>8</xdr:col>
          <xdr:colOff>571500</xdr:colOff>
          <xdr:row>105</xdr:row>
          <xdr:rowOff>144780</xdr:rowOff>
        </xdr:to>
        <xdr:sp macro="" textlink="">
          <xdr:nvSpPr>
            <xdr:cNvPr id="57373" name="Drop Down 29" hidden="1">
              <a:extLst>
                <a:ext uri="{63B3BB69-23CF-44E3-9099-C40C66FF867C}">
                  <a14:compatExt spid="_x0000_s57373"/>
                </a:ext>
                <a:ext uri="{FF2B5EF4-FFF2-40B4-BE49-F238E27FC236}">
                  <a16:creationId xmlns:a16="http://schemas.microsoft.com/office/drawing/2014/main" id="{00000000-0008-0000-0B00-00001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117</xdr:row>
          <xdr:rowOff>7620</xdr:rowOff>
        </xdr:from>
        <xdr:to>
          <xdr:col>7</xdr:col>
          <xdr:colOff>647700</xdr:colOff>
          <xdr:row>117</xdr:row>
          <xdr:rowOff>144780</xdr:rowOff>
        </xdr:to>
        <xdr:sp macro="" textlink="">
          <xdr:nvSpPr>
            <xdr:cNvPr id="57374" name="Drop Down 30" hidden="1">
              <a:extLst>
                <a:ext uri="{63B3BB69-23CF-44E3-9099-C40C66FF867C}">
                  <a14:compatExt spid="_x0000_s57374"/>
                </a:ext>
                <a:ext uri="{FF2B5EF4-FFF2-40B4-BE49-F238E27FC236}">
                  <a16:creationId xmlns:a16="http://schemas.microsoft.com/office/drawing/2014/main" id="{00000000-0008-0000-0B00-00001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118</xdr:row>
          <xdr:rowOff>22860</xdr:rowOff>
        </xdr:from>
        <xdr:to>
          <xdr:col>7</xdr:col>
          <xdr:colOff>647700</xdr:colOff>
          <xdr:row>119</xdr:row>
          <xdr:rowOff>99059</xdr:rowOff>
        </xdr:to>
        <xdr:sp macro="" textlink="">
          <xdr:nvSpPr>
            <xdr:cNvPr id="57375" name="Drop Down 31" hidden="1">
              <a:extLst>
                <a:ext uri="{63B3BB69-23CF-44E3-9099-C40C66FF867C}">
                  <a14:compatExt spid="_x0000_s57375"/>
                </a:ext>
                <a:ext uri="{FF2B5EF4-FFF2-40B4-BE49-F238E27FC236}">
                  <a16:creationId xmlns:a16="http://schemas.microsoft.com/office/drawing/2014/main" id="{00000000-0008-0000-0B00-00001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132</xdr:row>
          <xdr:rowOff>7620</xdr:rowOff>
        </xdr:from>
        <xdr:to>
          <xdr:col>5</xdr:col>
          <xdr:colOff>0</xdr:colOff>
          <xdr:row>132</xdr:row>
          <xdr:rowOff>144780</xdr:rowOff>
        </xdr:to>
        <xdr:sp macro="" textlink="">
          <xdr:nvSpPr>
            <xdr:cNvPr id="57376" name="Drop Down 32" hidden="1">
              <a:extLst>
                <a:ext uri="{63B3BB69-23CF-44E3-9099-C40C66FF867C}">
                  <a14:compatExt spid="_x0000_s57376"/>
                </a:ext>
                <a:ext uri="{FF2B5EF4-FFF2-40B4-BE49-F238E27FC236}">
                  <a16:creationId xmlns:a16="http://schemas.microsoft.com/office/drawing/2014/main" id="{00000000-0008-0000-0B00-00002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C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C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C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C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C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C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C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C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C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C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C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C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C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C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C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C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_rels/externalLink2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Csh%202025.xlsx" TargetMode="External"/><Relationship Id="rId1" Type="http://schemas.openxmlformats.org/officeDocument/2006/relationships/externalLinkPath" Target="file:///D:\work\Csh%202025.xlsx" TargetMode="External"/></Relationships>
</file>

<file path=xl/externalLinks/_rels/externalLink3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&#1578;&#1587;&#1593;&#1610;&#1585;2026.xlsx" TargetMode="External"/><Relationship Id="rId1" Type="http://schemas.openxmlformats.org/officeDocument/2006/relationships/externalLinkPath" Target="file:///D:\work\&#1578;&#1587;&#1593;&#1610;&#1585;2026.xlsx" TargetMode="External"/></Relationships>
</file>

<file path=xl/externalLinks/_rels/externalLink4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C:\Users\ingaz\Desktop\&#1578;&#1587;&#1593;&#1610;&#1585;%20&#1575;&#1604;&#1576;&#1585;&#1580;&#1608;&#1604;&#1575;&#1578;%20&#1575;&#1604;&#1575;&#1604;&#1608;&#1605;&#1606;&#1610;&#1608;&#1605;.xlsx" TargetMode="External"/><Relationship Id="rId1" Type="http://schemas.openxmlformats.org/officeDocument/2006/relationships/externalLinkPath" Target="/Users/ingaz/Desktop/&#1578;&#1587;&#1593;&#1610;&#1585;%20&#1575;&#1604;&#1576;&#1585;&#1580;&#1608;&#1604;&#1575;&#1578;%20&#1575;&#1604;&#1575;&#1604;&#1608;&#1605;&#1606;&#1610;&#1608;&#16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>
        <row r="14">
          <cell r="L14">
            <v>12</v>
          </cell>
        </row>
      </sheetData>
      <sheetData sheetId="2">
        <row r="4">
          <cell r="H4">
            <v>2</v>
          </cell>
        </row>
      </sheetData>
      <sheetData sheetId="3">
        <row r="4">
          <cell r="H4">
            <v>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iliver"/>
      <sheetName val="Tensil"/>
      <sheetName val="Cutting Ro-1"/>
      <sheetName val="Cutting Ro-2"/>
      <sheetName val="Cutting Ro-3"/>
      <sheetName val="Lovers"/>
      <sheetName val="Royal"/>
      <sheetName val="wavy"/>
      <sheetName val="بيرسا"/>
      <sheetName val="لوفرز"/>
      <sheetName val="سلايدنج"/>
      <sheetName val="Sheet2"/>
    </sheetNames>
    <definedNames/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تسعير"/>
      <sheetName val="شماسي متنوعة"/>
      <sheetName val="Royal"/>
      <sheetName val="Royal2"/>
      <sheetName val="wavy1"/>
      <sheetName val="wavy2"/>
      <sheetName val="شماسي و كانتليفر"/>
      <sheetName val="بيرسا و لوفرز"/>
      <sheetName val="تسجيل1"/>
      <sheetName val="Cutting Ro-1"/>
      <sheetName val="PERG. CS."/>
      <sheetName val="تسجيل2"/>
      <sheetName val="Cutting Ro-2"/>
      <sheetName val="Format (2)"/>
      <sheetName val="Format Οδηγων (2)"/>
      <sheetName val="Format Φωτισμου (2)"/>
      <sheetName val="Format διαστασης οδηγου (2)"/>
      <sheetName val="Format"/>
      <sheetName val="Format Οδηγων"/>
      <sheetName val="Format Φωτισμου"/>
      <sheetName val="Format διαστασης οδηγου"/>
      <sheetName val="تسعير2026"/>
    </sheetNames>
    <definedNames/>
    <sheetDataSet>
      <sheetData sheetId="0">
        <row r="35">
          <cell r="B35">
            <v>750</v>
          </cell>
        </row>
        <row r="36">
          <cell r="B36">
            <v>750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GOLAS"/>
      <sheetName val="PERG. CS."/>
      <sheetName val="UMB"/>
      <sheetName val="UMB CS."/>
      <sheetName val="تسعير البرجولات الالومنيوم"/>
    </sheetNames>
    <definedNames/>
    <sheetDataSet>
      <sheetData sheetId="0">
        <row r="29">
          <cell r="H29">
            <v>900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249" totalsRowDxfId="245"/>
    <tableColumn id="2" xr3:uid="{00000000-0010-0000-0400-000002000000}" name="عدد" dataDxfId="249" totalsRowDxfId="245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249" totalsRowDxfId="245"/>
    <tableColumn id="11" xr3:uid="{00000000-0010-0000-0400-00000B000000}" name="Column2" dataDxfId="249" totalsRowDxfId="245"/>
    <tableColumn id="10" xr3:uid="{00000000-0010-0000-0400-00000A000000}" name="Column1" dataDxfId="249" totalsRowDxfId="245"/>
    <tableColumn id="12" xr3:uid="{00000000-0010-0000-0400-00000C000000}" name="المسطح" totalsRowFunction="sum" dataDxfId="251" totalsRowDxfId="250">
      <calculatedColumnFormula>(Table1[[#This Row],[Column1]]+Table1[[#This Row],[Column2]])*12*Table1[[#This Row],[عدد]]</calculatedColumnFormula>
    </tableColumn>
    <tableColumn id="4" xr3:uid="{00000000-0010-0000-0400-000004000000}" name="الوحده" dataDxfId="249" totalsRowDxfId="245"/>
    <tableColumn id="5" xr3:uid="{00000000-0010-0000-0400-000005000000}" name="الوزن" totalsRowFunction="custom" totalsRowDxfId="245">
      <totalsRowFormula>(H6*B6)+(H8*B8)+(H7*B7)</totalsRowFormula>
    </tableColumn>
    <tableColumn id="6" xr3:uid="{00000000-0010-0000-0400-000006000000}" name="مسطح" dataDxfId="246" totalsRowDxfId="245"/>
    <tableColumn id="7" xr3:uid="{00000000-0010-0000-0400-000007000000}" name="سعر الشبك " dataDxfId="318" totalsRowDxfId="243">
      <calculatedColumnFormula>H6*$H$2/1000</calculatedColumnFormula>
    </tableColumn>
    <tableColumn id="8" xr3:uid="{00000000-0010-0000-0400-000008000000}" name="اجمالي" totalsRowFunction="sum" dataDxfId="242" totalsRowDxfId="241">
      <calculatedColumnFormula>B6*J6</calculatedColumnFormula>
    </tableColumn>
    <tableColumn id="9" xr3:uid="{00000000-0010-0000-0400-000009000000}" name="%" totalsRowFunction="custom" totalsRowDxfId="240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264"/>
    <tableColumn id="2" xr3:uid="{00000000-0010-0000-5E00-000002000000}" name="عدد" dataDxfId="262">
      <calculatedColumnFormula>IF((BL62="الاسكندرية"),0.25,0.1)</calculatedColumnFormula>
    </tableColumn>
    <tableColumn id="3" xr3:uid="{00000000-0010-0000-5E00-000003000000}" name="بيان" totalsRowLabel="Total" dataDxfId="264"/>
    <tableColumn id="11" xr3:uid="{00000000-0010-0000-5E00-00000B000000}" name="Column2" dataDxfId="264"/>
    <tableColumn id="10" xr3:uid="{00000000-0010-0000-5E00-00000A000000}" name="Column1" dataDxfId="264"/>
    <tableColumn id="12" xr3:uid="{00000000-0010-0000-5E00-00000C000000}" name="Column12" totalsRowFunction="sum" dataDxfId="279"/>
    <tableColumn id="4" xr3:uid="{00000000-0010-0000-5E00-000004000000}" name="الوحده" dataDxfId="278"/>
    <tableColumn id="5" xr3:uid="{00000000-0010-0000-5E00-000005000000}" name="الوزن" dataDxfId="264"/>
    <tableColumn id="6" xr3:uid="{00000000-0010-0000-5E00-000006000000}" name="سعر الكيلو" dataDxfId="264"/>
    <tableColumn id="7" xr3:uid="{00000000-0010-0000-5E00-000007000000}" name="سعر الشبك " dataDxfId="275">
      <calculatedColumnFormula>BQ45</calculatedColumnFormula>
    </tableColumn>
    <tableColumn id="8" xr3:uid="{00000000-0010-0000-5E00-000008000000}" name="اجمالي" totalsRowFunction="sum" dataDxfId="242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267"/>
    <tableColumn id="2" xr3:uid="{00000000-0010-0000-5F00-000002000000}" name="خارجي" dataDxfId="267"/>
    <tableColumn id="3" xr3:uid="{00000000-0010-0000-5F00-000003000000}" name="داخلي" dataDxfId="267"/>
    <tableColumn id="4" xr3:uid="{00000000-0010-0000-5F00-000004000000}" name="بدل الوجبة" dataDxfId="267"/>
    <tableColumn id="5" xr3:uid="{00000000-0010-0000-5F00-000005000000}" name="دبابة" dataDxfId="267"/>
    <tableColumn id="6" xr3:uid="{00000000-0010-0000-5F00-000006000000}" name="جامبو" dataDxfId="267"/>
    <tableColumn id="7" xr3:uid="{00000000-0010-0000-5F00-000007000000}" name="الاقامة" dataDxfId="267"/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264"/>
    <tableColumn id="4" xr3:uid="{00000000-0010-0000-6000-000004000000}" name="Column22" dataDxfId="264"/>
    <tableColumn id="5" xr3:uid="{00000000-0010-0000-6000-000005000000}" name="Column23" dataDxfId="264"/>
    <tableColumn id="3" xr3:uid="{00000000-0010-0000-6000-000003000000}" name="Column3" dataDxfId="263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262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249" totalsRowDxfId="245"/>
    <tableColumn id="2" xr3:uid="{00000000-0010-0000-6100-000002000000}" name="عدد" dataDxfId="249" totalsRowDxfId="245"/>
    <tableColumn id="3" xr3:uid="{00000000-0010-0000-6100-000003000000}" name="بيان" totalsRowLabel="Total" dataDxfId="249" totalsRowDxfId="245"/>
    <tableColumn id="11" xr3:uid="{00000000-0010-0000-6100-00000B000000}" name="Column2" dataDxfId="249" totalsRowDxfId="245"/>
    <tableColumn id="10" xr3:uid="{00000000-0010-0000-6100-00000A000000}" name="Column1" dataDxfId="249" totalsRowDxfId="245"/>
    <tableColumn id="12" xr3:uid="{00000000-0010-0000-6100-00000C000000}" name="المسطح" totalsRowFunction="sum" dataDxfId="251" totalsRowDxfId="250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249" totalsRowDxfId="245"/>
    <tableColumn id="5" xr3:uid="{00000000-0010-0000-6100-000005000000}" name="الوزن" totalsRowFunction="custom" totalsRowDxfId="245">
      <totalsRowFormula>(BN6*BH6)+(BN7*BG7)+(BN8*BG8)+(BN9*BG9)</totalsRowFormula>
    </tableColumn>
    <tableColumn id="6" xr3:uid="{00000000-0010-0000-6100-000006000000}" name="اجمالي المسطح" totalsRowFunction="sum" dataDxfId="246" totalsRowDxfId="245">
      <calculatedColumnFormula>Table1588090[[#This Row],[المسطح]]*Table1588090[[#This Row],[عدد]]</calculatedColumnFormula>
    </tableColumn>
    <tableColumn id="7" xr3:uid="{00000000-0010-0000-6100-000007000000}" name="سعر الشبك " dataDxfId="244" totalsRowDxfId="243">
      <calculatedColumnFormula>BN6*$S$2/1000</calculatedColumnFormula>
    </tableColumn>
    <tableColumn id="8" xr3:uid="{00000000-0010-0000-6100-000008000000}" name="اجمالي" totalsRowFunction="sum" dataDxfId="242" totalsRowDxfId="241">
      <calculatedColumnFormula>BH6*BP6</calculatedColumnFormula>
    </tableColumn>
    <tableColumn id="9" xr3:uid="{00000000-0010-0000-6100-000009000000}" name="%" totalsRowFunction="custom" totalsRowDxfId="240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230" totalsRowDxfId="238"/>
    <tableColumn id="2" xr3:uid="{00000000-0010-0000-6200-000002000000}" name="عدد" totalsRowFunction="custom" totalsRowDxfId="237">
      <totalsRowFormula>(Table8091[[#Totals],[price]]*1.1)/(BA1*AY1/10000)</totalsRowFormula>
    </tableColumn>
    <tableColumn id="3" xr3:uid="{00000000-0010-0000-6200-000003000000}" name="طول" dataDxfId="230" totalsRowDxfId="229"/>
    <tableColumn id="4" xr3:uid="{00000000-0010-0000-6200-000004000000}" name="Column2" dataDxfId="230" totalsRowDxfId="229"/>
    <tableColumn id="5" xr3:uid="{00000000-0010-0000-6200-000005000000}" name="wt/m" dataDxfId="230" totalsRowDxfId="229"/>
    <tableColumn id="6" xr3:uid="{00000000-0010-0000-6200-000006000000}" name="price" totalsRowFunction="sum" dataDxfId="230" totalsRowDxfId="229">
      <calculatedColumnFormula>AZ3*AX3</calculatedColumnFormula>
    </tableColumn>
  </tableColumns>
  <tableStyleInfo name="TableStyleLight17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249" totalsRowDxfId="3"/>
    <tableColumn id="2" xr3:uid="{00000000-0010-0000-6300-000002000000}" name="عدد" dataDxfId="246" totalsRowDxfId="3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249" totalsRowDxfId="3"/>
    <tableColumn id="11" xr3:uid="{00000000-0010-0000-6300-00000B000000}" name="Column2" dataDxfId="249" totalsRowDxfId="3"/>
    <tableColumn id="10" xr3:uid="{00000000-0010-0000-6300-00000A000000}" name="Column1" dataDxfId="249" totalsRowDxfId="3"/>
    <tableColumn id="12" xr3:uid="{00000000-0010-0000-6300-00000C000000}" name="Column12" dataDxfId="249" totalsRowDxfId="3"/>
    <tableColumn id="4" xr3:uid="{00000000-0010-0000-6300-000004000000}" name="الوحده" totalsRowLabel="total" dataDxfId="249" totalsRowDxfId="3"/>
    <tableColumn id="5" xr3:uid="{00000000-0010-0000-6300-000005000000}" name="الوزن" dataDxfId="249" totalsRowDxfId="3"/>
    <tableColumn id="6" xr3:uid="{00000000-0010-0000-6300-000006000000}" name="سعر الكيلو" dataDxfId="249" totalsRowDxfId="3"/>
    <tableColumn id="7" xr3:uid="{00000000-0010-0000-6300-000007000000}" name="سعر الشبك " dataDxfId="318" totalsRowDxfId="288">
      <calculatedColumnFormula>BP28</calculatedColumnFormula>
    </tableColumn>
    <tableColumn id="8" xr3:uid="{00000000-0010-0000-6300-000008000000}" name="اجمالي" totalsRowFunction="sum" dataDxfId="242" totalsRowDxfId="286">
      <calculatedColumnFormula>BH98*BP99</calculatedColumnFormula>
    </tableColumn>
    <tableColumn id="9" xr3:uid="{00000000-0010-0000-6300-000009000000}" name="%" totalsRowFunction="custom" totalsRowDxfId="285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249" totalsRowDxfId="245"/>
    <tableColumn id="2" xr3:uid="{00000000-0010-0000-6400-000002000000}" name="عدد" dataDxfId="246" totalsRowDxfId="245">
      <calculatedColumnFormula>IF((#REF!="بالتات"),0,4)</calculatedColumnFormula>
    </tableColumn>
    <tableColumn id="3" xr3:uid="{00000000-0010-0000-6400-000003000000}" name="بيان" totalsRowLabel="Total" dataDxfId="249" totalsRowDxfId="245"/>
    <tableColumn id="11" xr3:uid="{00000000-0010-0000-6400-00000B000000}" name="Column2" dataDxfId="249" totalsRowDxfId="245"/>
    <tableColumn id="10" xr3:uid="{00000000-0010-0000-6400-00000A000000}" name="Column1" dataDxfId="249" totalsRowDxfId="245"/>
    <tableColumn id="12" xr3:uid="{00000000-0010-0000-6400-00000C000000}" name="Column12" dataDxfId="251" totalsRowDxfId="250"/>
    <tableColumn id="4" xr3:uid="{00000000-0010-0000-6400-000004000000}" name="الوحده" dataDxfId="249" totalsRowDxfId="245"/>
    <tableColumn id="5" xr3:uid="{00000000-0010-0000-6400-000005000000}" name="الوزن" dataDxfId="249" totalsRowDxfId="245"/>
    <tableColumn id="6" xr3:uid="{00000000-0010-0000-6400-000006000000}" name="سعر الكيلو" dataDxfId="249" totalsRowDxfId="245"/>
    <tableColumn id="7" xr3:uid="{00000000-0010-0000-6400-000007000000}" name="سعر الشبك " dataDxfId="275" totalsRowDxfId="243">
      <calculatedColumnFormula>Sheet2!AW26</calculatedColumnFormula>
    </tableColumn>
    <tableColumn id="8" xr3:uid="{00000000-0010-0000-6400-000008000000}" name="اجمالي" totalsRowFunction="sum" dataDxfId="242" totalsRowDxfId="241">
      <calculatedColumnFormula>BH84*BP84</calculatedColumnFormula>
    </tableColumn>
    <tableColumn id="9" xr3:uid="{00000000-0010-0000-6400-000009000000}" name="%" totalsRowFunction="custom" totalsRowDxfId="240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249"/>
    <tableColumn id="2" xr3:uid="{00000000-0010-0000-6500-000002000000}" name="عدد" totalsRowFunction="sum" dataDxfId="249">
      <calculatedColumnFormula>BH90*4</calculatedColumnFormula>
    </tableColumn>
    <tableColumn id="3" xr3:uid="{00000000-0010-0000-6500-000003000000}" name="بيان" totalsRowLabel="Total" dataDxfId="249"/>
    <tableColumn id="11" xr3:uid="{00000000-0010-0000-6500-00000B000000}" name="Column2" dataDxfId="249"/>
    <tableColumn id="10" xr3:uid="{00000000-0010-0000-6500-00000A000000}" name="Column1" dataDxfId="249"/>
    <tableColumn id="12" xr3:uid="{00000000-0010-0000-6500-00000C000000}" name="Column12" totalsRowFunction="sum" dataDxfId="2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249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246"/>
    <tableColumn id="7" xr3:uid="{00000000-0010-0000-6500-000007000000}" name="سعر الشبك " dataDxfId="318">
      <calculatedColumnFormula>BN92*$S$2/1000</calculatedColumnFormula>
    </tableColumn>
    <tableColumn id="8" xr3:uid="{00000000-0010-0000-6500-000008000000}" name="اجمالي" totalsRowFunction="sum" dataDxfId="242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267"/>
    <tableColumn id="2" xr3:uid="{00000000-0010-0000-6600-000002000000}" name="المعدل" dataDxfId="267"/>
    <tableColumn id="3" xr3:uid="{00000000-0010-0000-6600-000003000000}" name="الوحدة" dataDxfId="267"/>
    <tableColumn id="4" xr3:uid="{00000000-0010-0000-6600-000004000000}" name="Column4" dataDxfId="311"/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267"/>
    <tableColumn id="2" xr3:uid="{00000000-0010-0000-6700-000002000000}" name="Column2" dataDxfId="311"/>
    <tableColumn id="3" xr3:uid="{00000000-0010-0000-6700-000003000000}" name="Column3" dataDxfId="267"/>
    <tableColumn id="4" xr3:uid="{00000000-0010-0000-6700-000004000000}" name="Column4" dataDxfId="267"/>
    <tableColumn id="5" xr3:uid="{00000000-0010-0000-6700-000005000000}" name="Column5" dataDxfId="267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249" totalsRowDxfId="3"/>
    <tableColumn id="2" xr3:uid="{00000000-0010-0000-0500-000002000000}" name="عدد" dataDxfId="246" totalsRowDxfId="3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249" totalsRowDxfId="3"/>
    <tableColumn id="11" xr3:uid="{00000000-0010-0000-0500-00000B000000}" name="Column2" dataDxfId="249" totalsRowDxfId="3"/>
    <tableColumn id="10" xr3:uid="{00000000-0010-0000-0500-00000A000000}" name="Column1" dataDxfId="249" totalsRowDxfId="3"/>
    <tableColumn id="12" xr3:uid="{00000000-0010-0000-0500-00000C000000}" name="Column12" dataDxfId="249" totalsRowDxfId="3"/>
    <tableColumn id="4" xr3:uid="{00000000-0010-0000-0500-000004000000}" name="الوحده" totalsRowLabel="total" dataDxfId="249" totalsRowDxfId="3"/>
    <tableColumn id="5" xr3:uid="{00000000-0010-0000-0500-000005000000}" name="الوزن" dataDxfId="249" totalsRowDxfId="3"/>
    <tableColumn id="6" xr3:uid="{00000000-0010-0000-0500-000006000000}" name="سعر الكيلو" dataDxfId="249" totalsRowDxfId="3"/>
    <tableColumn id="7" xr3:uid="{00000000-0010-0000-0500-000007000000}" name="سعر الشبك " dataDxfId="318" totalsRowDxfId="288">
      <calculatedColumnFormula>Sheet2!B8</calculatedColumnFormula>
    </tableColumn>
    <tableColumn id="8" xr3:uid="{00000000-0010-0000-0500-000008000000}" name="اجمالي" totalsRowFunction="sum" dataDxfId="242" totalsRowDxfId="286">
      <calculatedColumnFormula>B35*J35</calculatedColumnFormula>
    </tableColumn>
    <tableColumn id="9" xr3:uid="{00000000-0010-0000-0500-000009000000}" name="%" totalsRowFunction="custom" totalsRowDxfId="285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249" totalsRowDxfId="3"/>
    <tableColumn id="2" xr3:uid="{00000000-0010-0000-6800-000002000000}" name="عدد" dataDxfId="262" totalsRowDxfId="3">
      <calculatedColumnFormula>IF((تسعير!$AU$14="بالتات"),0,BH119-2)</calculatedColumnFormula>
    </tableColumn>
    <tableColumn id="3" xr3:uid="{00000000-0010-0000-6800-000003000000}" name="بيان" totalsRowLabel="Total" dataDxfId="301" totalsRowDxfId="3"/>
    <tableColumn id="5" xr3:uid="{00000000-0010-0000-6800-000005000000}" name="اليومية / الاجرة" dataDxfId="301" totalsRowDxfId="3"/>
    <tableColumn id="6" xr3:uid="{00000000-0010-0000-6800-000006000000}" name="بدل الوجبة" dataDxfId="299" totalsRowDxfId="3"/>
    <tableColumn id="11" xr3:uid="{00000000-0010-0000-6800-00000B000000}" name="موقع العمل" dataDxfId="264" totalsRowDxfId="3">
      <calculatedColumnFormula>تسعير!$BE$44</calculatedColumnFormula>
    </tableColumn>
    <tableColumn id="10" xr3:uid="{00000000-0010-0000-6800-00000A000000}" name="شيفت العمل" dataDxfId="249" totalsRowDxfId="3"/>
    <tableColumn id="12" xr3:uid="{00000000-0010-0000-6800-00000C000000}" name="Column12" totalsRowFunction="sum" dataDxfId="251" totalsRowDxfId="2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291" totalsRowDxfId="3"/>
    <tableColumn id="7" xr3:uid="{00000000-0010-0000-6800-000007000000}" name="اجمالي التكلفة للعامل" dataDxfId="289" totalsRowDxfId="288">
      <calculatedColumnFormula>Table1612677697108[[#This Row],[Column12]]</calculatedColumnFormula>
    </tableColumn>
    <tableColumn id="8" xr3:uid="{00000000-0010-0000-6800-000008000000}" name="اجمالي" totalsRowFunction="sum" dataDxfId="242" totalsRowDxfId="286">
      <calculatedColumnFormula>BH122*BP122</calculatedColumnFormula>
    </tableColumn>
    <tableColumn id="9" xr3:uid="{00000000-0010-0000-6800-000009000000}" name="%" totalsRowFunction="custom" totalsRowDxfId="285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264"/>
    <tableColumn id="2" xr3:uid="{00000000-0010-0000-6900-000002000000}" name="عدد" dataDxfId="262">
      <calculatedColumnFormula>IF((BL133="الاسكندرية"),0.25,0.1)</calculatedColumnFormula>
    </tableColumn>
    <tableColumn id="3" xr3:uid="{00000000-0010-0000-6900-000003000000}" name="بيان" totalsRowLabel="Total" dataDxfId="264"/>
    <tableColumn id="11" xr3:uid="{00000000-0010-0000-6900-00000B000000}" name="Column2" dataDxfId="264"/>
    <tableColumn id="10" xr3:uid="{00000000-0010-0000-6900-00000A000000}" name="Column1" dataDxfId="264"/>
    <tableColumn id="12" xr3:uid="{00000000-0010-0000-6900-00000C000000}" name="Column12" totalsRowFunction="sum" dataDxfId="279"/>
    <tableColumn id="4" xr3:uid="{00000000-0010-0000-6900-000004000000}" name="الوحده" dataDxfId="278"/>
    <tableColumn id="5" xr3:uid="{00000000-0010-0000-6900-000005000000}" name="الوزن" dataDxfId="264"/>
    <tableColumn id="6" xr3:uid="{00000000-0010-0000-6900-000006000000}" name="سعر الكيلو" dataDxfId="264"/>
    <tableColumn id="7" xr3:uid="{00000000-0010-0000-6900-000007000000}" name="سعر الشبك " dataDxfId="275">
      <calculatedColumnFormula>BQ116</calculatedColumnFormula>
    </tableColumn>
    <tableColumn id="8" xr3:uid="{00000000-0010-0000-6900-000008000000}" name="اجمالي" totalsRowFunction="sum" dataDxfId="242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267"/>
    <tableColumn id="2" xr3:uid="{00000000-0010-0000-6A00-000002000000}" name="خارجي" dataDxfId="267"/>
    <tableColumn id="3" xr3:uid="{00000000-0010-0000-6A00-000003000000}" name="داخلي" dataDxfId="267"/>
    <tableColumn id="4" xr3:uid="{00000000-0010-0000-6A00-000004000000}" name="بدل الوجبة" dataDxfId="267"/>
    <tableColumn id="5" xr3:uid="{00000000-0010-0000-6A00-000005000000}" name="دبابة" dataDxfId="267"/>
    <tableColumn id="6" xr3:uid="{00000000-0010-0000-6A00-000006000000}" name="جامبو" dataDxfId="267"/>
    <tableColumn id="7" xr3:uid="{00000000-0010-0000-6A00-000007000000}" name="الاقامة" dataDxfId="267"/>
  </tableColumns>
  <tableStyleInfo name="TableStyleLight16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264"/>
    <tableColumn id="4" xr3:uid="{00000000-0010-0000-6B00-000004000000}" name="Column22" dataDxfId="264"/>
    <tableColumn id="5" xr3:uid="{00000000-0010-0000-6B00-000005000000}" name="Column23" dataDxfId="264"/>
    <tableColumn id="3" xr3:uid="{00000000-0010-0000-6B00-000003000000}" name="Column3" dataDxfId="263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262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249" totalsRowDxfId="245"/>
    <tableColumn id="2" xr3:uid="{00000000-0010-0000-6C00-000002000000}" name="عدد" dataDxfId="249" totalsRowDxfId="24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249" totalsRowDxfId="245"/>
    <tableColumn id="11" xr3:uid="{00000000-0010-0000-6C00-00000B000000}" name="Column2" dataDxfId="249" totalsRowDxfId="245"/>
    <tableColumn id="10" xr3:uid="{00000000-0010-0000-6C00-00000A000000}" name="Column1" dataDxfId="249" totalsRowDxfId="245"/>
    <tableColumn id="12" xr3:uid="{00000000-0010-0000-6C00-00000C000000}" name="المسطح" totalsRowFunction="sum" dataDxfId="251" totalsRowDxfId="250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249" totalsRowDxfId="245"/>
    <tableColumn id="5" xr3:uid="{00000000-0010-0000-6C00-000005000000}" name="الوزن" totalsRowFunction="custom" totalsRowDxfId="245">
      <totalsRowFormula>(BN76*BH76)+(BN77*BH77)+(BN78*BH78)+(BN79*BH79)</totalsRowFormula>
    </tableColumn>
    <tableColumn id="6" xr3:uid="{00000000-0010-0000-6C00-000006000000}" name="اجمالي المسطح" totalsRowFunction="sum" dataDxfId="246" totalsRowDxfId="245">
      <calculatedColumnFormula>Table15880101112[[#This Row],[المسطح]]*Table15880101112[[#This Row],[عدد]]</calculatedColumnFormula>
    </tableColumn>
    <tableColumn id="7" xr3:uid="{00000000-0010-0000-6C00-000007000000}" name="سعر الشبك " dataDxfId="244" totalsRowDxfId="243">
      <calculatedColumnFormula>BN76*$S$2/1000</calculatedColumnFormula>
    </tableColumn>
    <tableColumn id="8" xr3:uid="{00000000-0010-0000-6C00-000008000000}" name="اجمالي" totalsRowFunction="sum" dataDxfId="242" totalsRowDxfId="241">
      <calculatedColumnFormula>BH76*BP76</calculatedColumnFormula>
    </tableColumn>
    <tableColumn id="9" xr3:uid="{00000000-0010-0000-6C00-000009000000}" name="%" totalsRowFunction="custom" totalsRowDxfId="240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230" totalsRowDxfId="238"/>
    <tableColumn id="2" xr3:uid="{00000000-0010-0000-6D00-000002000000}" name="عدد" totalsRowFunction="custom" totalsRowDxfId="237">
      <totalsRowFormula>(Table80102113[[#Totals],[price]]*1.1)/(BA72*AY72/10000)</totalsRowFormula>
    </tableColumn>
    <tableColumn id="3" xr3:uid="{00000000-0010-0000-6D00-000003000000}" name="طول" dataDxfId="230" totalsRowDxfId="229"/>
    <tableColumn id="4" xr3:uid="{00000000-0010-0000-6D00-000004000000}" name="Column2" dataDxfId="230" totalsRowDxfId="229"/>
    <tableColumn id="5" xr3:uid="{00000000-0010-0000-6D00-000005000000}" name="wt/m" dataDxfId="230" totalsRowDxfId="229"/>
    <tableColumn id="6" xr3:uid="{00000000-0010-0000-6D00-000006000000}" name="price" totalsRowFunction="sum" dataDxfId="230" totalsRowDxfId="229">
      <calculatedColumnFormula>AZ74*AX74</calculatedColumnFormula>
    </tableColumn>
  </tableColumns>
  <tableStyleInfo name="TableStyleLight17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04" dataDxfId="91" totalsRowDxfId="102">
  <autoFilter ref="A2:F23" xr:uid="{00000000-0009-0000-0100-000071000000}"/>
  <tableColumns count="6">
    <tableColumn id="1" xr3:uid="{00000000-0010-0000-6E00-000001000000}" name="Column1" totalsRowLabel="Total" dataDxfId="91" totalsRowDxfId="100"/>
    <tableColumn id="2" xr3:uid="{00000000-0010-0000-6E00-000002000000}" name="عدد" totalsRowFunction="custom" dataDxfId="91" totalsRowDxfId="98">
      <totalsRowFormula>(Table80102114[[#Totals],[price]]*1.1)/(F1*D1/10000)</totalsRowFormula>
    </tableColumn>
    <tableColumn id="3" xr3:uid="{00000000-0010-0000-6E00-000003000000}" name="طول" dataDxfId="91" totalsRowDxfId="90"/>
    <tableColumn id="4" xr3:uid="{00000000-0010-0000-6E00-000004000000}" name="Column2" dataDxfId="91" totalsRowDxfId="90"/>
    <tableColumn id="5" xr3:uid="{00000000-0010-0000-6E00-000005000000}" name="wt/m" dataDxfId="91" totalsRowDxfId="90"/>
    <tableColumn id="6" xr3:uid="{00000000-0010-0000-6E00-000006000000}" name="price" totalsRowFunction="sum" dataDxfId="91" totalsRowDxfId="90"/>
  </tableColumns>
  <tableStyleInfo name="TableStyleLight17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04" dataDxfId="91" totalsRowDxfId="102">
  <autoFilter ref="A75:F96" xr:uid="{00000000-0009-0000-0100-000072000000}"/>
  <tableColumns count="6">
    <tableColumn id="1" xr3:uid="{00000000-0010-0000-6F00-000001000000}" name="Column1" totalsRowLabel="Total" dataDxfId="91" totalsRowDxfId="100"/>
    <tableColumn id="2" xr3:uid="{00000000-0010-0000-6F00-000002000000}" name="عدد" totalsRowFunction="custom" dataDxfId="91" totalsRowDxfId="98">
      <totalsRowFormula>(Table80102114115[[#Totals],[price]]*1.1)/(F74*D74/10000)</totalsRowFormula>
    </tableColumn>
    <tableColumn id="3" xr3:uid="{00000000-0010-0000-6F00-000003000000}" name="طول" dataDxfId="91" totalsRowDxfId="90"/>
    <tableColumn id="4" xr3:uid="{00000000-0010-0000-6F00-000004000000}" name="Column2" dataDxfId="91" totalsRowDxfId="90"/>
    <tableColumn id="5" xr3:uid="{00000000-0010-0000-6F00-000005000000}" name="wt/m" dataDxfId="91" totalsRowDxfId="90"/>
    <tableColumn id="6" xr3:uid="{00000000-0010-0000-6F00-000006000000}" name="price" totalsRowFunction="sum" dataDxfId="91" totalsRowDxfId="90"/>
  </tableColumns>
  <tableStyleInfo name="TableStyleLight17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6E284D28-C3AA-4BF5-AA47-75599B0A856C}" name="Table1134" displayName="Table1134" ref="B2:F3" totalsRowShown="0" dataDxfId="192">
  <autoFilter ref="B2:F3" xr:uid="{6E284D28-C3AA-4BF5-AA47-75599B0A856C}"/>
  <tableColumns count="5">
    <tableColumn id="1" xr3:uid="{F05C6A66-F43A-449F-8365-F848C3E3FCF4}" name="المنتج" dataDxfId="192">
      <calculatedColumnFormula>تسعير!AH46</calculatedColumnFormula>
    </tableColumn>
    <tableColumn id="2" xr3:uid="{0CEFF7DA-9167-4759-90A5-641D43832BD8}" name="العرض" dataDxfId="192">
      <calculatedColumnFormula>تسعير!AI46</calculatedColumnFormula>
    </tableColumn>
    <tableColumn id="3" xr3:uid="{8920483F-B230-4954-B6EB-299A021EF592}" name="الامتداد" dataDxfId="192">
      <calculatedColumnFormula>تسعير!AJ46</calculatedColumnFormula>
    </tableColumn>
    <tableColumn id="4" xr3:uid="{07EB60AF-C006-4964-9A4B-3B79BB8020B0}" name="لون الشاسية" dataDxfId="192">
      <calculatedColumnFormula>تسعير!AK46</calculatedColumnFormula>
    </tableColumn>
    <tableColumn id="5" xr3:uid="{E7DFD066-5983-4486-B7BE-468171A981A3}" name="لون اللوفرز" dataDxfId="192">
      <calculatedColumnFormula>تسعير!AL46</calculatedColumnFormula>
    </tableColumn>
  </tableColumns>
  <tableStyleInfo name="TableStyleLight16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3AE47BF8-B869-46BC-B7F0-F4DA963C247E}" name="Table2135" displayName="Table2135" ref="B6:F12" totalsRowCount="1">
  <autoFilter ref="B6:F11" xr:uid="{3AE47BF8-B869-46BC-B7F0-F4DA963C247E}"/>
  <tableColumns count="5">
    <tableColumn id="1" xr3:uid="{DFF224CE-7576-4515-904B-FBFC4D5C680A}" name="الخامة" totalsRowLabel="Total"/>
    <tableColumn id="2" xr3:uid="{AC1FAC90-AE41-46EF-9B31-9E503AF62A6C}" name="العدد"/>
    <tableColumn id="3" xr3:uid="{E1CF79A6-154B-492B-9561-A0D71EC90423}" name="الطول"/>
    <tableColumn id="4" xr3:uid="{2DFC47C0-43DD-44F1-B996-3B03682BBF44}" name="الوزن المتري"/>
    <tableColumn id="5" xr3:uid="{6DCB8640-022B-4F19-A849-8A0B3E6FF733}" name="القيمة" totalsRowFunction="sum" totalsRowDxfId="12">
      <calculatedColumnFormula>IF(([4]!Table1[لون الشاسية]=AI1),(Table2135[[#This Row],[العدد]]*Table2135[[#This Row],[الطول]]*Table2135[[#This Row],[الوزن المتري]]*(K3+25000)),IF(([4]!Table1[لون الشاسية]=AI2),(Table2135[[#This Row],[العدد]]*Table2135[[#This Row],[الطول]]*Table2135[[#This Row],[الوزن المتري]]*(K3+65000)),0))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249"/>
    <tableColumn id="2" xr3:uid="{00000000-0010-0000-0600-000002000000}" name="عدد" dataDxfId="249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249"/>
    <tableColumn id="11" xr3:uid="{00000000-0010-0000-0600-00000B000000}" name="Column2" dataDxfId="249"/>
    <tableColumn id="10" xr3:uid="{00000000-0010-0000-0600-00000A000000}" name="Column1" dataDxfId="249"/>
    <tableColumn id="12" xr3:uid="{00000000-0010-0000-0600-00000C000000}" name="Column12" totalsRowFunction="sum" dataDxfId="24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249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246">
      <calculatedColumnFormula>Table14[[#This Row],[Column12]]*Table14[[#This Row],[عدد]]</calculatedColumnFormula>
    </tableColumn>
    <tableColumn id="7" xr3:uid="{00000000-0010-0000-0600-000007000000}" name="سعر الشبك " dataDxfId="318">
      <calculatedColumnFormula>H12*$I$2/1000</calculatedColumnFormula>
    </tableColumn>
    <tableColumn id="8" xr3:uid="{00000000-0010-0000-0600-000008000000}" name="اجمالي" totalsRowFunction="sum" dataDxfId="242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1F8C92F-369B-4B5C-B07A-DC67DD79B1FC}" name="Table80102" displayName="Table80102" ref="B14:G36" totalsRowCount="1" headerRowDxfId="104" dataDxfId="91" totalsRowDxfId="102">
  <autoFilter ref="B14:G35" xr:uid="{01F8C92F-369B-4B5C-B07A-DC67DD79B1FC}"/>
  <tableColumns count="6">
    <tableColumn id="1" xr3:uid="{BF4333B4-59C0-4EE4-89B9-FEED8A8A131D}" name="Column1" totalsRowLabel="Total" dataDxfId="91" totalsRowDxfId="100"/>
    <tableColumn id="2" xr3:uid="{20C39B5D-0F6B-4807-8E24-DD5BBEDC42F4}" name="عدد" totalsRowFunction="custom" dataDxfId="91" totalsRowDxfId="98">
      <totalsRowFormula>(Table80102[[#Totals],[price]]*1.1)/(E13*C13/10000)</totalsRowFormula>
    </tableColumn>
    <tableColumn id="3" xr3:uid="{45234998-15CC-4591-990E-6C40A423CF54}" name="طول" dataDxfId="91" totalsRowDxfId="90"/>
    <tableColumn id="4" xr3:uid="{4A1E2D76-BA68-478E-A8B0-68B9239E9C44}" name="Column2" dataDxfId="91" totalsRowDxfId="90"/>
    <tableColumn id="5" xr3:uid="{41823737-EC82-4CC7-8E7F-BF2A359EB0F1}" name="wt/m" dataDxfId="91" totalsRowDxfId="90"/>
    <tableColumn id="6" xr3:uid="{31A18015-9562-44BD-ACB0-8D06980C4071}" name="price" totalsRowFunction="sum" dataDxfId="91" totalsRowDxfId="90"/>
  </tableColumns>
  <tableStyleInfo name="TableStyleLight17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F4B57681-793F-4DA6-938B-EF5BA0D74D8B}" name="Table4137" displayName="Table4137" ref="B38:F49" totalsRowCount="1">
  <autoFilter ref="B38:F48" xr:uid="{F4B57681-793F-4DA6-938B-EF5BA0D74D8B}"/>
  <tableColumns count="5">
    <tableColumn id="1" xr3:uid="{8B0C594C-91EB-4284-9F8F-8A39950C8C96}" name="Column1" totalsRowLabel="Total"/>
    <tableColumn id="2" xr3:uid="{B543F9EC-FF51-4F7C-AF63-C0390F20F5E6}" name="Column2"/>
    <tableColumn id="3" xr3:uid="{0D691CEA-49C1-4CCC-81ED-00113B1CDE33}" name="Column3"/>
    <tableColumn id="4" xr3:uid="{A4AF1872-10C0-4826-9A8F-27A24196EE4A}" name="Column4"/>
    <tableColumn id="5" xr3:uid="{079CDC73-967D-4C39-BF78-3501BC5069B9}" name="Column5" totalsRowFunction="sum" totalsRowDxfId="0">
      <calculatedColumnFormula>IF(([4]!Table1[لون الشاسية]=AI1),(Table4137[[#This Row],[Column2]]*Table4137[[#This Row],[Column3]]*Table4137[[#This Row],[Column4]]*((K3/1000)+25)),IF(([4]!Table1[لون الشاسية]=AI2),(Table4137[[#This Row],[Column2]]*Table4137[[#This Row],[Column3]]*Table4137[[#This Row],[Column4]]*((K3/1000)+65)),0))</calculatedColumnFormula>
    </tableColumn>
  </tableColumns>
  <tableStyleInfo name="TableStyleLight15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C7667DF-9D42-41A5-B6E6-118E1FCFA63B}" name="Table13138" displayName="Table13138" ref="B51:P63" totalsRowCount="1" headerRowDxfId="102" dataDxfId="102" totalsRowDxfId="102">
  <autoFilter ref="B51:P62" xr:uid="{4C7667DF-9D42-41A5-B6E6-118E1FCFA63B}"/>
  <tableColumns count="15">
    <tableColumn id="1" xr3:uid="{369A167F-428C-4461-9DBD-A58A66BAF9A7}" name="قطاعات الألومنيوم " totalsRowLabel="Total" dataDxfId="147" totalsRowDxfId="146" dataCellStyle="Normal 2"/>
    <tableColumn id="2" xr3:uid="{56469A33-367D-427E-BB32-FC4196143BB2}" name="عدد " dataDxfId="145" totalsRowDxfId="144" dataCellStyle="Normal 2"/>
    <tableColumn id="3" xr3:uid="{0CE9ADFD-132C-485C-98C6-EC1A18524D7C}" name="طول بالسنتيمتر " dataDxfId="143" totalsRowDxfId="142" dataCellStyle="Normal 2"/>
    <tableColumn id="4" xr3:uid="{506E5DEA-3439-4ADC-80C2-4611AF278237}" name="1" dataDxfId="106" totalsRowDxfId="2" dataCellStyle="Normal 2"/>
    <tableColumn id="5" xr3:uid="{1115AC2C-AEA0-4516-AD56-DAAF56E2D143}" name="2" dataDxfId="106" totalsRowDxfId="2" dataCellStyle="Normal 2"/>
    <tableColumn id="6" xr3:uid="{6BEE7943-4AF3-40C5-8F21-5AF96C9F6E7E}" name="3" dataDxfId="137" totalsRowDxfId="2" dataCellStyle="Normal 2"/>
    <tableColumn id="14" xr3:uid="{C339D900-5713-413C-BEA2-B416B483EECB}" name="4" dataDxfId="131" totalsRowDxfId="2" dataCellStyle="Normal 2">
      <calculatedColumnFormula>IF(D52&gt;350,4,0)</calculatedColumnFormula>
    </tableColumn>
    <tableColumn id="13" xr3:uid="{64E4A22B-DF40-44E4-9B52-1CA2155D6B8D}" name="5" dataDxfId="131" totalsRowDxfId="2" dataCellStyle="Normal 2">
      <calculatedColumnFormula>IF(D52&gt;350,4,0)</calculatedColumnFormula>
    </tableColumn>
    <tableColumn id="15" xr3:uid="{15F67072-09CF-48A5-9489-ED271AD7F8A3}" name="6" dataDxfId="131" totalsRowDxfId="2" dataCellStyle="Normal 2"/>
    <tableColumn id="7" xr3:uid="{D610E8C1-D47D-44FA-8593-8C1C46E4FC43}" name="اختيار" dataDxfId="106" totalsRowDxfId="2" dataCellStyle="Normal 2"/>
    <tableColumn id="8" xr3:uid="{96BFA68C-4B20-4323-988C-5F46D6C1E6D2}" name="التقطيع" dataDxfId="127" totalsRowDxfId="2" dataCellStyle="Normal 2"/>
    <tableColumn id="9" xr3:uid="{5C4B63B7-714C-476F-BDE3-A5940DE8B0EE}" name="بالهدر" dataDxfId="106" totalsRowDxfId="2" dataCellStyle="Normal 2">
      <calculatedColumnFormula>CEILING(L52,0.25)</calculatedColumnFormula>
    </tableColumn>
    <tableColumn id="10" xr3:uid="{967AAB2A-3CBC-489F-8789-9F5C00F5D83C}" name="Column1" dataDxfId="106" totalsRowDxfId="2" dataCellStyle="Normal 2"/>
    <tableColumn id="11" xr3:uid="{76CE1684-442E-40CE-9E88-94D80CB7830B}" name="وزن المتر" dataDxfId="102"/>
    <tableColumn id="12" xr3:uid="{35C4C533-AA04-467F-936F-7558F5DB8E15}" name="السعر" totalsRowFunction="sum" dataDxfId="119" totalsRowDxfId="118" dataCellStyle="Normal 2"/>
  </tableColumns>
  <tableStyleInfo name="TableStyleLight17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E5E8C9DF-A434-4B1E-9F2A-956212BAAA2E}" name="Table15139" displayName="Table15139" ref="B64:E96" totalsRowCount="1" headerRowDxfId="110" dataDxfId="115" totalsRowDxfId="113" headerRowCellStyle="Normal 2">
  <autoFilter ref="B64:E95" xr:uid="{E5E8C9DF-A434-4B1E-9F2A-956212BAAA2E}"/>
  <tableColumns count="4">
    <tableColumn id="1" xr3:uid="{14D6CE5D-1213-43A1-BF29-FDC7124F2A0F}" name="الاكسسوار" totalsRowLabel="Total" dataDxfId="110" totalsRowDxfId="111" dataCellStyle="Normal 2"/>
    <tableColumn id="2" xr3:uid="{BA98A798-2CCA-4B7A-8B05-63B06D09333A}" name="عدد" dataDxfId="110" dataCellStyle="Normal 2"/>
    <tableColumn id="3" xr3:uid="{874A13E8-F264-4E16-B5DC-F94B11DF3BA1}" name="سعر" dataDxfId="106" totalsRowDxfId="2" dataCellStyle="Normal 2"/>
    <tableColumn id="4" xr3:uid="{DA8B93C8-59AD-4087-99B5-E52B920DEA79}" name="قيمة" totalsRowFunction="sum" dataDxfId="106" totalsRowDxfId="2" dataCellStyle="Normal 2">
      <calculatedColumnFormula>D65*C65</calculatedColumnFormula>
    </tableColumn>
  </tableColumns>
  <tableStyleInfo name="TableStyleLight20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A630A4D1-964B-4D9C-80E9-DA639A17F16D}" name="Table80102113140" displayName="Table80102113140" ref="L12:Q24" totalsRowCount="1" headerRowDxfId="104" dataDxfId="91" totalsRowDxfId="102">
  <autoFilter ref="L12:Q23" xr:uid="{A630A4D1-964B-4D9C-80E9-DA639A17F16D}"/>
  <tableColumns count="6">
    <tableColumn id="1" xr3:uid="{D6CA05FE-79A8-47D8-8096-DAD04C28DE48}" name="Column1" totalsRowLabel="Total" dataDxfId="91" totalsRowDxfId="100"/>
    <tableColumn id="2" xr3:uid="{DF451939-4251-43AE-B6F6-9E343597384A}" name="عدد" totalsRowFunction="custom" dataDxfId="91" totalsRowDxfId="98">
      <totalsRowFormula>(Table80102113140[[#Totals],[price]]*1.1)/(O11*M11/10000)</totalsRowFormula>
    </tableColumn>
    <tableColumn id="3" xr3:uid="{C25478EA-3E99-4126-8989-54E48D1715D2}" name="طول" dataDxfId="91" totalsRowDxfId="90"/>
    <tableColumn id="4" xr3:uid="{9822A093-08F1-4B4D-9AFC-90D5A4131131}" name="Column2" dataDxfId="91" totalsRowDxfId="90"/>
    <tableColumn id="5" xr3:uid="{2E48C218-473A-4C6D-8C09-4D5CDD33479B}" name="wt/m" dataDxfId="91" totalsRowDxfId="90"/>
    <tableColumn id="6" xr3:uid="{36249871-283B-48D1-B606-C1BA8D8BCF2C}" name="price" totalsRowFunction="sum" dataDxfId="91" totalsRowDxfId="90"/>
  </tableColumns>
  <tableStyleInfo name="TableStyleLight17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BFF28C6C-15F3-47BD-88D1-5EB534211F6B}" name="Table211" displayName="Table211" ref="L25:P35" totalsRowCount="1">
  <autoFilter ref="L25:P34" xr:uid="{BFF28C6C-15F3-47BD-88D1-5EB534211F6B}"/>
  <tableColumns count="5">
    <tableColumn id="1" xr3:uid="{9DE4B88F-3A1F-4686-9607-FB56CFBE60E1}" name="الخامة" totalsRowLabel="Total"/>
    <tableColumn id="2" xr3:uid="{8C5BB10F-4160-48DE-8E36-8322997DFC90}" name="العدد"/>
    <tableColumn id="3" xr3:uid="{8C2DB168-1346-4F4D-8028-99DAA46CA97F}" name="الطول"/>
    <tableColumn id="4" xr3:uid="{866F221C-3D0D-4C3D-BAC5-BC71C31F988A}" name="الوزن المتري"/>
    <tableColumn id="5" xr3:uid="{26A682D6-1BAA-49D8-B104-F85A78FD4337}" name="القيمة" totalsRowFunction="sum" totalsRowDxfId="12"/>
  </tableColumns>
  <tableStyleInfo name="TableStyleLight15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8C0460ED-F85D-4F8A-AFC5-8C3E78065780}" name="Table212" displayName="Table212" ref="S11:W26" totalsRowCount="1">
  <autoFilter ref="S11:W25" xr:uid="{8C0460ED-F85D-4F8A-AFC5-8C3E78065780}"/>
  <tableColumns count="5">
    <tableColumn id="1" xr3:uid="{0BF8D15F-55B2-4A03-A6A5-0AEC0B93FBE7}" name="الخامة" totalsRowLabel="Total"/>
    <tableColumn id="2" xr3:uid="{DFD82FB1-E16D-4EB9-BC16-032302D0DFD8}" name="العدد"/>
    <tableColumn id="3" xr3:uid="{32B24A82-2417-4B8A-A868-3E9377712ED3}" name="الطول"/>
    <tableColumn id="4" xr3:uid="{A008AA4C-B661-4CD9-9558-94DFB3285C9F}" name="الوزن المتري"/>
    <tableColumn id="5" xr3:uid="{16C6370F-A223-4D41-8C87-9F8C98E775FB}" name="القيمة" totalsRowFunction="sum" totalsRowDxfId="12"/>
  </tableColumns>
  <tableStyleInfo name="TableStyleLight15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86FDC189-1FB8-42E6-B00C-062A233FAF92}" name="Table21213" displayName="Table21213" ref="S30:W39" totalsRowCount="1">
  <autoFilter ref="S30:W38" xr:uid="{86FDC189-1FB8-42E6-B00C-062A233FAF92}"/>
  <tableColumns count="5">
    <tableColumn id="1" xr3:uid="{EA869FC2-04E3-4779-9045-DEEEF8D9DE8F}" name="الخامة" totalsRowLabel="Total"/>
    <tableColumn id="2" xr3:uid="{724E6041-949A-40E4-9C1B-BF687A1B4E21}" name="العدد"/>
    <tableColumn id="3" xr3:uid="{A135C7BF-0BF0-45CA-AFCE-32A1C2F59117}" name="الطول"/>
    <tableColumn id="4" xr3:uid="{56394E2D-8D59-445F-91BF-A07EB53504A9}" name="الوزن المتري"/>
    <tableColumn id="5" xr3:uid="{7D868DBE-48E5-48C9-BED8-FB26F1C5C3B7}" name="القيمة" totalsRowFunction="sum" totalsRowDxfId="12">
      <calculatedColumnFormula>IF(([4]!Table1[لون الشاسية]=AZ19),(Table21213[[#This Row],[العدد]]*Table21213[[#This Row],[الطول]]*Table21213[[#This Row],[الوزن المتري]]*(#REF!+25000)),IF(([4]!Table1[لون الشاسية]=AZ20),(Table21213[[#This Row],[العدد]]*Table21213[[#This Row],[الطول]]*Table21213[[#This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150FD4ED-1C25-4A09-81EB-03FC9C33F9F9}" name="Table212136" displayName="Table212136" ref="S44:W56" totalsRowCount="1">
  <autoFilter ref="S44:W55" xr:uid="{150FD4ED-1C25-4A09-81EB-03FC9C33F9F9}"/>
  <tableColumns count="5">
    <tableColumn id="1" xr3:uid="{27755FB6-0B53-4FD5-AD12-45C800FF797B}" name="الخامة" totalsRowLabel="Total"/>
    <tableColumn id="2" xr3:uid="{978B531D-F9E2-4C19-9501-5372BACE94A5}" name="العدد"/>
    <tableColumn id="3" xr3:uid="{316D5575-AD17-4050-A67B-BE63DE275514}" name="الطول"/>
    <tableColumn id="4" xr3:uid="{63FBC5A5-76B2-4F09-9EAC-D9CC60E965BC}" name="الوزن المتري"/>
    <tableColumn id="5" xr3:uid="{93DDBAEE-FE7A-4F20-B554-7DA7AC7B7356}" name="القيمة" totalsRowFunction="sum" totalsRowDxfId="12">
      <calculatedColumnFormula>IF(([4]!Table1[لون الشاسية]=AZ36),(Table212136[[#This Row],[العدد]]*Table212136[[#This Row],[الطول]]*Table212136[[#This Row],[الوزن المتري]]*(#REF!+25000)),IF(([4]!Table1[لون الشاسية]=AZ37),(Table212136[[#This Row],[العدد]]*Table212136[[#This Row],[الطول]]*Table212136[[#This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458C5E96-2D95-43BD-A8DA-1969F8DA9B1D}" name="Table2121367" displayName="Table2121367" ref="S60:W72" totalsRowCount="1">
  <autoFilter ref="S60:W71" xr:uid="{458C5E96-2D95-43BD-A8DA-1969F8DA9B1D}"/>
  <tableColumns count="5">
    <tableColumn id="1" xr3:uid="{8CCDC8FE-2E8E-4320-A07F-377E9D382912}" name="الخامة" totalsRowLabel="Total"/>
    <tableColumn id="2" xr3:uid="{ABDC6ABD-6FCD-4DC0-BCE9-B934CFF9CD0B}" name="العدد"/>
    <tableColumn id="3" xr3:uid="{BA9411AB-313A-498F-957D-BA0426F955B2}" name="الطول"/>
    <tableColumn id="4" xr3:uid="{31EDAA8B-0A9E-4850-9C12-BA8629A84FED}" name="الوزن المتري"/>
    <tableColumn id="5" xr3:uid="{D935894B-CC2E-4DF6-8E9C-DF196925EBCE}" name="القيمة" totalsRowFunction="sum" totalsRowDxfId="12">
      <calculatedColumnFormula>IF(([4]!Table1[لون الشاسية]=AZ53),(Table2121367[[#This Row],[العدد]]*Table2121367[[#This Row],[الطول]]*Table2121367[[#This Row],[الوزن المتري]]*(AB55+25000)),IF(([4]!Table1[لون الشاسية]=AZ54),(Table2121367[[#This Row],[العدد]]*Table2121367[[#This Row],[الطول]]*Table2121367[[#This Row],[الوزن المتري]]*(AB55+65000)),0))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249" totalsRowDxfId="3"/>
    <tableColumn id="2" xr3:uid="{00000000-0010-0000-0700-000002000000}" name="عدد" dataDxfId="246" totalsRowDxfId="3"/>
    <tableColumn id="3" xr3:uid="{00000000-0010-0000-0700-000003000000}" name="بيان" totalsRowLabel="Total" dataDxfId="249" totalsRowDxfId="3"/>
    <tableColumn id="11" xr3:uid="{00000000-0010-0000-0700-00000B000000}" name="Column2" dataDxfId="249" totalsRowDxfId="3"/>
    <tableColumn id="10" xr3:uid="{00000000-0010-0000-0700-00000A000000}" name="Column1" dataDxfId="249" totalsRowDxfId="3"/>
    <tableColumn id="12" xr3:uid="{00000000-0010-0000-0700-00000C000000}" name="Column12" dataDxfId="251" totalsRowDxfId="2"/>
    <tableColumn id="4" xr3:uid="{00000000-0010-0000-0700-000004000000}" name="الوحده" dataDxfId="249" totalsRowDxfId="3"/>
    <tableColumn id="5" xr3:uid="{00000000-0010-0000-0700-000005000000}" name="الوزن" dataDxfId="249" totalsRowDxfId="3"/>
    <tableColumn id="6" xr3:uid="{00000000-0010-0000-0700-000006000000}" name="سعر الكيلو" dataDxfId="249" totalsRowDxfId="3"/>
    <tableColumn id="7" xr3:uid="{00000000-0010-0000-0700-000007000000}" name="سعر الشبك " dataDxfId="318" totalsRowDxfId="288">
      <calculatedColumnFormula>Sheet2!B22</calculatedColumnFormula>
    </tableColumn>
    <tableColumn id="8" xr3:uid="{00000000-0010-0000-0700-000008000000}" name="اجمالي" totalsRowFunction="sum" dataDxfId="242" totalsRowDxfId="286">
      <calculatedColumnFormula>B17*J17</calculatedColumnFormula>
    </tableColumn>
    <tableColumn id="9" xr3:uid="{00000000-0010-0000-0700-000009000000}" name="%" totalsRowFunction="custom" totalsRowDxfId="285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C5D89C21-CD94-4DF8-B056-E617F6154D75}" name="Table212136714" displayName="Table212136714" ref="S76:W88" totalsRowCount="1">
  <autoFilter ref="S76:W87" xr:uid="{C5D89C21-CD94-4DF8-B056-E617F6154D75}"/>
  <tableColumns count="5">
    <tableColumn id="1" xr3:uid="{C8D31AC7-5388-40FD-8484-312C2B6742AA}" name="الخامة" totalsRowLabel="Total"/>
    <tableColumn id="2" xr3:uid="{3969767B-BCF8-4F1F-BA9F-542F8610FD38}" name="العدد"/>
    <tableColumn id="3" xr3:uid="{099CFB9E-DE29-472B-A16A-C94A59DB3358}" name="الطول"/>
    <tableColumn id="4" xr3:uid="{DCEAD467-24FC-468F-82EB-389BDB25D3BF}" name="الوزن المتري"/>
    <tableColumn id="5" xr3:uid="{216E6FFF-6B03-469E-9078-A1A4FC2135E3}" name="القيمة" totalsRowFunction="sum" totalsRowDxfId="12">
      <calculatedColumnFormula>IF(([4]!Table1[لون الشاسية]=AZ69),(Table212136714[[#This Row],[العدد]]*Table212136714[[#This Row],[الطول]]*Table212136714[[#This Row],[الوزن المتري]]*(AB71+25000)),IF(([4]!Table1[لون الشاسية]=AZ70),(Table212136714[[#This Row],[العدد]]*Table212136714[[#This Row],[الطول]]*Table212136714[[#This Row],[الوزن المتري]]*(AB71+65000)),0))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249" totalsRowDxfId="245"/>
    <tableColumn id="2" xr3:uid="{00000000-0010-0000-0800-000002000000}" name="عدد" totalsRowFunction="count" dataDxfId="249" totalsRowDxfId="245">
      <calculatedColumnFormula>B29*4</calculatedColumnFormula>
    </tableColumn>
    <tableColumn id="3" xr3:uid="{00000000-0010-0000-0800-000003000000}" name="بيان" totalsRowLabel="Total" dataDxfId="249" totalsRowDxfId="245"/>
    <tableColumn id="11" xr3:uid="{00000000-0010-0000-0800-00000B000000}" name="Column2" dataDxfId="249" totalsRowDxfId="245"/>
    <tableColumn id="10" xr3:uid="{00000000-0010-0000-0800-00000A000000}" name="Column1" dataDxfId="249" totalsRowDxfId="245"/>
    <tableColumn id="12" xr3:uid="{00000000-0010-0000-0800-00000C000000}" name="Column12" totalsRowFunction="sum" dataDxfId="251" totalsRowDxfId="250">
      <calculatedColumnFormula>(Table16[[#This Row],[Column1]]*Table16[[#This Row],[Column2]])*Table16[[#This Row],[عدد]]</calculatedColumnFormula>
    </tableColumn>
    <tableColumn id="4" xr3:uid="{00000000-0010-0000-0800-000004000000}" name="الوحده" dataDxfId="249" totalsRowDxfId="245"/>
    <tableColumn id="5" xr3:uid="{00000000-0010-0000-0800-000005000000}" name="الوزن" totalsRowFunction="custom" totalsRowDxfId="245">
      <totalsRowFormula>H30*B30+H31*B31</totalsRowFormula>
    </tableColumn>
    <tableColumn id="6" xr3:uid="{00000000-0010-0000-0800-000006000000}" name="Column3" dataDxfId="246" totalsRowDxfId="245"/>
    <tableColumn id="7" xr3:uid="{00000000-0010-0000-0800-000007000000}" name="سعر الشبك " dataDxfId="318" totalsRowDxfId="243">
      <calculatedColumnFormula>H30*$H$2/1000</calculatedColumnFormula>
    </tableColumn>
    <tableColumn id="8" xr3:uid="{00000000-0010-0000-0800-000008000000}" name="اجمالي" totalsRowFunction="sum" dataDxfId="242" totalsRowDxfId="241">
      <calculatedColumnFormula>B30*J30</calculatedColumnFormula>
    </tableColumn>
    <tableColumn id="9" xr3:uid="{00000000-0010-0000-0800-000009000000}" name="%" totalsRowFunction="custom" totalsRowDxfId="240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67"/>
    <tableColumn id="2" xr3:uid="{00000000-0010-0000-0900-000002000000}" name="المعدل" dataDxfId="267"/>
    <tableColumn id="3" xr3:uid="{00000000-0010-0000-0900-000003000000}" name="الوحدة" dataDxfId="267"/>
    <tableColumn id="4" xr3:uid="{00000000-0010-0000-0900-000004000000}" name="Column4" dataDxfId="311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249"/>
    <tableColumn id="2" xr3:uid="{00000000-0010-0000-0A00-000002000000}" name="عدد" dataDxfId="1473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264"/>
    <tableColumn id="11" xr3:uid="{00000000-0010-0000-0A00-00000B000000}" name="Column2" dataDxfId="264"/>
    <tableColumn id="10" xr3:uid="{00000000-0010-0000-0A00-00000A000000}" name="Column1" dataDxfId="278"/>
    <tableColumn id="12" xr3:uid="{00000000-0010-0000-0A00-00000C000000}" name="Column12" totalsRowFunction="sum" dataDxfId="1294"/>
    <tableColumn id="4" xr3:uid="{00000000-0010-0000-0A00-000004000000}" name="الوحده" dataDxfId="1293"/>
    <tableColumn id="5" xr3:uid="{00000000-0010-0000-0A00-000005000000}" name="الوزن" dataDxfId="1292"/>
    <tableColumn id="6" xr3:uid="{00000000-0010-0000-0A00-000006000000}" name="سعر الكيلو" dataDxfId="278"/>
    <tableColumn id="7" xr3:uid="{00000000-0010-0000-0A00-000007000000}" name="سعر الشبك " dataDxfId="275">
      <calculatedColumnFormula>Sheet2!B31</calculatedColumnFormula>
    </tableColumn>
    <tableColumn id="8" xr3:uid="{00000000-0010-0000-0A00-000008000000}" name="اجمالي" totalsRowFunction="sum" dataDxfId="242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249" totalsRowDxfId="3"/>
    <tableColumn id="2" xr3:uid="{00000000-0010-0000-0B00-000002000000}" name="عدد" dataDxfId="249" totalsRowDxfId="3">
      <calculatedColumnFormula>IF((F78="الاسكندرية"),0.25,0.1)</calculatedColumnFormula>
    </tableColumn>
    <tableColumn id="3" xr3:uid="{00000000-0010-0000-0B00-000003000000}" name="بيان برجولا رويال" totalsRowLabel="Total" dataDxfId="249" totalsRowDxfId="3"/>
    <tableColumn id="12" xr3:uid="{00000000-0010-0000-0B00-00000C000000}" name="Column12" totalsRowFunction="sum" dataDxfId="251" totalsRowDxfId="2"/>
    <tableColumn id="5" xr3:uid="{00000000-0010-0000-0B00-000005000000}" name="Column1" dataDxfId="249" totalsRowDxfId="3"/>
    <tableColumn id="11" xr3:uid="{00000000-0010-0000-0B00-00000B000000}" name="العرض" dataDxfId="264" totalsRowDxfId="3"/>
    <tableColumn id="10" xr3:uid="{00000000-0010-0000-0B00-00000A000000}" name="الامتداد" dataDxfId="246" totalsRowDxfId="3"/>
    <tableColumn id="4" xr3:uid="{00000000-0010-0000-0B00-000004000000}" name="سعر المتر" dataDxfId="278" totalsRowDxfId="3"/>
    <tableColumn id="6" xr3:uid="{00000000-0010-0000-0B00-000006000000}" name="Column2" dataDxfId="299" totalsRowDxfId="3"/>
    <tableColumn id="7" xr3:uid="{00000000-0010-0000-0B00-000007000000}" name="سعر البرجولا كاملة" dataDxfId="318" totalsRowDxfId="288">
      <calculatedColumnFormula>(K57)</calculatedColumnFormula>
    </tableColumn>
    <tableColumn id="8" xr3:uid="{00000000-0010-0000-0B00-000008000000}" name="اجمالي" totalsRowFunction="sum" dataDxfId="242" totalsRowDxfId="286">
      <calculatedColumnFormula>B58*Table1611[[#This Row],[سعر البرجولا كاملة]]</calculatedColumnFormula>
    </tableColumn>
    <tableColumn id="9" xr3:uid="{00000000-0010-0000-0B00-000009000000}" name="%" totalsRowFunction="custom" totalsRowDxfId="285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249" totalsRowDxfId="3"/>
    <tableColumn id="2" xr3:uid="{00000000-0010-0000-0C00-000002000000}" name="عدد" dataDxfId="262" totalsRowDxfId="3">
      <calculatedColumnFormula>B61</calculatedColumnFormula>
    </tableColumn>
    <tableColumn id="3" xr3:uid="{00000000-0010-0000-0C00-000003000000}" name="بيان" totalsRowLabel="Total" dataDxfId="301" totalsRowDxfId="3"/>
    <tableColumn id="5" xr3:uid="{00000000-0010-0000-0C00-000005000000}" name="اليومية / الاجرة" dataDxfId="301" totalsRowDxfId="3"/>
    <tableColumn id="6" xr3:uid="{00000000-0010-0000-0C00-000006000000}" name="بدل الوجبة" dataDxfId="299" totalsRowDxfId="3"/>
    <tableColumn id="11" xr3:uid="{00000000-0010-0000-0C00-00000B000000}" name="موقع العمل" dataDxfId="264" totalsRowDxfId="3">
      <calculatedColumnFormula>تسعير!$T$4</calculatedColumnFormula>
    </tableColumn>
    <tableColumn id="10" xr3:uid="{00000000-0010-0000-0C00-00000A000000}" name="شيفت العمل" dataDxfId="249" totalsRowDxfId="3"/>
    <tableColumn id="12" xr3:uid="{00000000-0010-0000-0C00-00000C000000}" name="Column12" totalsRowFunction="sum" dataDxfId="251" totalsRowDxfId="2">
      <calculatedColumnFormula>SUMIF(Table17[Column1],Table1612[[#This Row],[موقع العمل]],$T$2:$T$20)</calculatedColumnFormula>
    </tableColumn>
    <tableColumn id="4" xr3:uid="{00000000-0010-0000-0C00-000004000000}" name="عدد الايام" dataDxfId="291" totalsRowDxfId="3"/>
    <tableColumn id="7" xr3:uid="{00000000-0010-0000-0C00-000007000000}" name="اجمالي التكلفة للعامل" dataDxfId="289" totalsRowDxfId="288">
      <calculatedColumnFormula>Table1612[[#This Row],[Column12]]</calculatedColumnFormula>
    </tableColumn>
    <tableColumn id="8" xr3:uid="{00000000-0010-0000-0C00-000008000000}" name="اجمالي" totalsRowFunction="sum" dataDxfId="242" totalsRowDxfId="286">
      <calculatedColumnFormula>B67*J67</calculatedColumnFormula>
    </tableColumn>
    <tableColumn id="9" xr3:uid="{00000000-0010-0000-0C00-000009000000}" name="%" totalsRowFunction="custom" totalsRowDxfId="285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890"/>
    <tableColumn id="2" xr3:uid="{00000000-0010-0000-0D00-000002000000}" name="خارجي" dataDxfId="947"/>
    <tableColumn id="3" xr3:uid="{00000000-0010-0000-0D00-000003000000}" name="داخلي" dataDxfId="947"/>
    <tableColumn id="4" xr3:uid="{00000000-0010-0000-0D00-000004000000}" name="بدل الوجبة" dataDxfId="947"/>
    <tableColumn id="5" xr3:uid="{00000000-0010-0000-0D00-000005000000}" name="دبابة" dataDxfId="947"/>
    <tableColumn id="6" xr3:uid="{00000000-0010-0000-0D00-000006000000}" name="جامبو" dataDxfId="947"/>
    <tableColumn id="7" xr3:uid="{00000000-0010-0000-0D00-000007000000}" name="الاقامة" dataDxfId="947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264"/>
    <tableColumn id="4" xr3:uid="{00000000-0010-0000-0E00-000004000000}" name="Column22" dataDxfId="264"/>
    <tableColumn id="5" xr3:uid="{00000000-0010-0000-0E00-000005000000}" name="Column23" dataDxfId="264"/>
    <tableColumn id="3" xr3:uid="{00000000-0010-0000-0E00-000003000000}" name="Column3" dataDxfId="263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262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249" totalsRowDxfId="245"/>
    <tableColumn id="2" xr3:uid="{00000000-0010-0000-0F00-000002000000}" name="عدد" dataDxfId="249" totalsRowDxfId="24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249" totalsRowDxfId="245"/>
    <tableColumn id="11" xr3:uid="{00000000-0010-0000-0F00-00000B000000}" name="Column2" dataDxfId="249" totalsRowDxfId="245"/>
    <tableColumn id="10" xr3:uid="{00000000-0010-0000-0F00-00000A000000}" name="Column1" dataDxfId="249" totalsRowDxfId="245"/>
    <tableColumn id="12" xr3:uid="{00000000-0010-0000-0F00-00000C000000}" name="المسطح" totalsRowFunction="sum" dataDxfId="251" totalsRowDxfId="250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249" totalsRowDxfId="245"/>
    <tableColumn id="5" xr3:uid="{00000000-0010-0000-0F00-000005000000}" name="الوزن" totalsRowFunction="custom" dataDxfId="249" totalsRowDxfId="245">
      <totalsRowFormula>H9*B9+H8*B8+H7*B7</totalsRowFormula>
    </tableColumn>
    <tableColumn id="6" xr3:uid="{00000000-0010-0000-0F00-000006000000}" name="اجمالي الميزان" totalsRowFunction="sum" dataDxfId="246" totalsRowDxfId="245">
      <calculatedColumnFormula>Table118[[#This Row],[الوزن]]*Table118[[#This Row],[عدد]]</calculatedColumnFormula>
    </tableColumn>
    <tableColumn id="7" xr3:uid="{00000000-0010-0000-0F00-000007000000}" name="سعر الشبك " dataDxfId="318" totalsRowDxfId="243">
      <calculatedColumnFormula>H6*$H$2/1000</calculatedColumnFormula>
    </tableColumn>
    <tableColumn id="8" xr3:uid="{00000000-0010-0000-0F00-000008000000}" name="اجمالي" totalsRowFunction="sum" dataDxfId="242" totalsRowDxfId="241">
      <calculatedColumnFormula>B6*J6</calculatedColumnFormula>
    </tableColumn>
    <tableColumn id="9" xr3:uid="{00000000-0010-0000-0F00-000009000000}" name="%" totalsRowFunction="custom" totalsRowDxfId="240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249" totalsRowDxfId="245"/>
    <tableColumn id="2" xr3:uid="{00000000-0010-0000-1000-000002000000}" name="عدد" dataDxfId="246" totalsRowDxfId="24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249" totalsRowDxfId="245"/>
    <tableColumn id="11" xr3:uid="{00000000-0010-0000-1000-00000B000000}" name="Column2" dataDxfId="249" totalsRowDxfId="245"/>
    <tableColumn id="10" xr3:uid="{00000000-0010-0000-1000-00000A000000}" name="Column1" dataDxfId="249" totalsRowDxfId="245"/>
    <tableColumn id="12" xr3:uid="{00000000-0010-0000-1000-00000C000000}" name="Column12" dataDxfId="249" totalsRowDxfId="245"/>
    <tableColumn id="4" xr3:uid="{00000000-0010-0000-1000-000004000000}" name="الوحده" totalsRowLabel="total" dataDxfId="249" totalsRowDxfId="245"/>
    <tableColumn id="5" xr3:uid="{00000000-0010-0000-1000-000005000000}" name="الوزن" dataDxfId="246" totalsRowDxfId="24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249" totalsRowDxfId="245">
      <calculatedColumnFormula>Sheet2!B7</calculatedColumnFormula>
    </tableColumn>
    <tableColumn id="7" xr3:uid="{00000000-0010-0000-1000-000007000000}" name="سعر الشبك " dataDxfId="318" totalsRowDxfId="243"/>
    <tableColumn id="8" xr3:uid="{00000000-0010-0000-1000-000008000000}" name="اجمالي" totalsRowFunction="sum" dataDxfId="242" totalsRowDxfId="241">
      <calculatedColumnFormula>B36*Table1319[[#This Row],[سعر الكيلو]]</calculatedColumnFormula>
    </tableColumn>
    <tableColumn id="9" xr3:uid="{00000000-0010-0000-1000-000009000000}" name="%" totalsRowFunction="custom" totalsRowDxfId="240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249" totalsRowDxfId="245"/>
    <tableColumn id="2" xr3:uid="{00000000-0010-0000-1100-000002000000}" name="عدد" dataDxfId="249" totalsRowDxfId="24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249" totalsRowDxfId="245"/>
    <tableColumn id="11" xr3:uid="{00000000-0010-0000-1100-00000B000000}" name="Column2" dataDxfId="249" totalsRowDxfId="245"/>
    <tableColumn id="10" xr3:uid="{00000000-0010-0000-1100-00000A000000}" name="Column1" dataDxfId="249" totalsRowDxfId="245"/>
    <tableColumn id="12" xr3:uid="{00000000-0010-0000-1100-00000C000000}" name="Column12" totalsRowFunction="sum" dataDxfId="246" totalsRowDxfId="24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249" totalsRowDxfId="245"/>
    <tableColumn id="5" xr3:uid="{00000000-0010-0000-1100-000005000000}" name="الوزن" totalsRowFunction="custom" dataDxfId="249" totalsRowDxfId="245">
      <totalsRowFormula>H13*B13+H14*B14</totalsRowFormula>
    </tableColumn>
    <tableColumn id="6" xr3:uid="{00000000-0010-0000-1100-000006000000}" name="سعر الكيلو" totalsRowFunction="sum" dataDxfId="246" totalsRowDxfId="245">
      <calculatedColumnFormula>Table1421[[#This Row],[الوزن]]*Table1421[[#This Row],[عدد]]</calculatedColumnFormula>
    </tableColumn>
    <tableColumn id="7" xr3:uid="{00000000-0010-0000-1100-000007000000}" name="سعر الشبك " dataDxfId="318" totalsRowDxfId="1340">
      <calculatedColumnFormula>H13*$I$2/1000</calculatedColumnFormula>
    </tableColumn>
    <tableColumn id="8" xr3:uid="{00000000-0010-0000-1100-000008000000}" name="اجمالي" totalsRowFunction="sum" dataDxfId="242" totalsRowDxfId="241">
      <calculatedColumnFormula>B13*J13</calculatedColumnFormula>
    </tableColumn>
    <tableColumn id="9" xr3:uid="{00000000-0010-0000-1100-000009000000}" name="%" totalsRowFunction="custom" totalsRowDxfId="240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249" totalsRowDxfId="3"/>
    <tableColumn id="2" xr3:uid="{00000000-0010-0000-1200-000002000000}" name="عدد" dataDxfId="246" totalsRowDxfId="3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249" totalsRowDxfId="3"/>
    <tableColumn id="11" xr3:uid="{00000000-0010-0000-1200-00000B000000}" name="Column2" dataDxfId="249" totalsRowDxfId="3"/>
    <tableColumn id="10" xr3:uid="{00000000-0010-0000-1200-00000A000000}" name="Column1" dataDxfId="249" totalsRowDxfId="3"/>
    <tableColumn id="12" xr3:uid="{00000000-0010-0000-1200-00000C000000}" name="Column12" dataDxfId="251" totalsRowDxfId="2"/>
    <tableColumn id="4" xr3:uid="{00000000-0010-0000-1200-000004000000}" name="الوحده" dataDxfId="249" totalsRowDxfId="3"/>
    <tableColumn id="5" xr3:uid="{00000000-0010-0000-1200-000005000000}" name="الوزن" dataDxfId="249" totalsRowDxfId="3"/>
    <tableColumn id="6" xr3:uid="{00000000-0010-0000-1200-000006000000}" name="سعر الكيلو" dataDxfId="249" totalsRowDxfId="3"/>
    <tableColumn id="7" xr3:uid="{00000000-0010-0000-1200-000007000000}" name="سعر الشبك " dataDxfId="318" totalsRowDxfId="288">
      <calculatedColumnFormula>Sheet2!B22</calculatedColumnFormula>
    </tableColumn>
    <tableColumn id="8" xr3:uid="{00000000-0010-0000-1200-000008000000}" name="اجمالي" totalsRowFunction="sum" dataDxfId="242" totalsRowDxfId="286">
      <calculatedColumnFormula>B18*J18</calculatedColumnFormula>
    </tableColumn>
    <tableColumn id="9" xr3:uid="{00000000-0010-0000-1200-000009000000}" name="%" totalsRowFunction="custom" totalsRowDxfId="285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249"/>
    <tableColumn id="2" xr3:uid="{00000000-0010-0000-1300-000002000000}" name="عدد" totalsRowFunction="count" dataDxfId="246">
      <calculatedColumnFormula>B30*4</calculatedColumnFormula>
    </tableColumn>
    <tableColumn id="3" xr3:uid="{00000000-0010-0000-1300-000003000000}" name="بيان" totalsRowLabel="Total" dataDxfId="249"/>
    <tableColumn id="11" xr3:uid="{00000000-0010-0000-1300-00000B000000}" name="Column2" dataDxfId="249"/>
    <tableColumn id="10" xr3:uid="{00000000-0010-0000-1300-00000A000000}" name="Column1" dataDxfId="249"/>
    <tableColumn id="12" xr3:uid="{00000000-0010-0000-1300-00000C000000}" name="Column12" totalsRowFunction="sum" dataDxfId="2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249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246">
      <calculatedColumnFormula>$H$2/1000</calculatedColumnFormula>
    </tableColumn>
    <tableColumn id="7" xr3:uid="{00000000-0010-0000-1300-000007000000}" name="سعر الشبك " dataDxfId="318">
      <calculatedColumnFormula>H31*$H$2/1000</calculatedColumnFormula>
    </tableColumn>
    <tableColumn id="8" xr3:uid="{00000000-0010-0000-1300-000008000000}" name="اجمالي" totalsRowFunction="sum" dataDxfId="242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267"/>
    <tableColumn id="2" xr3:uid="{00000000-0010-0000-1400-000002000000}" name="المعدل" dataDxfId="267"/>
    <tableColumn id="3" xr3:uid="{00000000-0010-0000-1400-000003000000}" name="الوحدة" dataDxfId="267"/>
    <tableColumn id="4" xr3:uid="{00000000-0010-0000-1400-000004000000}" name="Column4" dataDxfId="311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249"/>
    <tableColumn id="2" xr3:uid="{00000000-0010-0000-1500-000002000000}" name="عدد" dataDxfId="1298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264"/>
    <tableColumn id="11" xr3:uid="{00000000-0010-0000-1500-00000B000000}" name="Column2" dataDxfId="264"/>
    <tableColumn id="10" xr3:uid="{00000000-0010-0000-1500-00000A000000}" name="Column1" dataDxfId="278"/>
    <tableColumn id="12" xr3:uid="{00000000-0010-0000-1500-00000C000000}" name="Column12" totalsRowFunction="sum" dataDxfId="1294"/>
    <tableColumn id="4" xr3:uid="{00000000-0010-0000-1500-000004000000}" name="الوحده" dataDxfId="1293"/>
    <tableColumn id="5" xr3:uid="{00000000-0010-0000-1500-000005000000}" name="الوزن" dataDxfId="1292"/>
    <tableColumn id="6" xr3:uid="{00000000-0010-0000-1500-000006000000}" name="سعر الكيلو" dataDxfId="278"/>
    <tableColumn id="7" xr3:uid="{00000000-0010-0000-1500-000007000000}" name="سعر الشبك " dataDxfId="275">
      <calculatedColumnFormula>Sheet2!B31</calculatedColumnFormula>
    </tableColumn>
    <tableColumn id="8" xr3:uid="{00000000-0010-0000-1500-000008000000}" name="اجمالي" totalsRowFunction="sum" dataDxfId="242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249" totalsRowDxfId="3"/>
    <tableColumn id="2" xr3:uid="{00000000-0010-0000-1600-000002000000}" name="عدد" dataDxfId="249" totalsRowDxfId="3">
      <calculatedColumnFormula>IF((F80="الاسكندرية"),0.25,0.1)</calculatedColumnFormula>
    </tableColumn>
    <tableColumn id="3" xr3:uid="{00000000-0010-0000-1600-000003000000}" name="بيان برجولا رويال" totalsRowLabel="Total" dataDxfId="249" totalsRowDxfId="3"/>
    <tableColumn id="12" xr3:uid="{00000000-0010-0000-1600-00000C000000}" name="Column12" totalsRowFunction="sum" dataDxfId="251" totalsRowDxfId="2"/>
    <tableColumn id="5" xr3:uid="{00000000-0010-0000-1600-000005000000}" name="Column1" dataDxfId="249" totalsRowDxfId="3"/>
    <tableColumn id="11" xr3:uid="{00000000-0010-0000-1600-00000B000000}" name="العرض" dataDxfId="264" totalsRowDxfId="3"/>
    <tableColumn id="10" xr3:uid="{00000000-0010-0000-1600-00000A000000}" name="الامتداد" dataDxfId="246" totalsRowDxfId="3"/>
    <tableColumn id="4" xr3:uid="{00000000-0010-0000-1600-000004000000}" name="سعر المتر" dataDxfId="278" totalsRowDxfId="3"/>
    <tableColumn id="6" xr3:uid="{00000000-0010-0000-1600-000006000000}" name="Column2" dataDxfId="299" totalsRowDxfId="3"/>
    <tableColumn id="7" xr3:uid="{00000000-0010-0000-1600-000007000000}" name="سعر البرجولا كاملة" dataDxfId="318" totalsRowDxfId="288">
      <calculatedColumnFormula>K58</calculatedColumnFormula>
    </tableColumn>
    <tableColumn id="8" xr3:uid="{00000000-0010-0000-1600-000008000000}" name="اجمالي" totalsRowFunction="sum" dataDxfId="242" totalsRowDxfId="28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285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249" totalsRowDxfId="3"/>
    <tableColumn id="2" xr3:uid="{00000000-0010-0000-1700-000002000000}" name="عدد" dataDxfId="262" totalsRowDxfId="3">
      <calculatedColumnFormula>B66</calculatedColumnFormula>
    </tableColumn>
    <tableColumn id="3" xr3:uid="{00000000-0010-0000-1700-000003000000}" name="بيان" totalsRowLabel="Total" dataDxfId="301" totalsRowDxfId="3"/>
    <tableColumn id="5" xr3:uid="{00000000-0010-0000-1700-000005000000}" name="اليومية / الاجرة" dataDxfId="301" totalsRowDxfId="3"/>
    <tableColumn id="6" xr3:uid="{00000000-0010-0000-1700-000006000000}" name="بدل الوجبة" dataDxfId="299" totalsRowDxfId="3"/>
    <tableColumn id="11" xr3:uid="{00000000-0010-0000-1700-00000B000000}" name="موقع العمل" dataDxfId="264" totalsRowDxfId="3">
      <calculatedColumnFormula>تسعير!$T$24</calculatedColumnFormula>
    </tableColumn>
    <tableColumn id="10" xr3:uid="{00000000-0010-0000-1700-00000A000000}" name="شيفت العمل" dataDxfId="249" totalsRowDxfId="3"/>
    <tableColumn id="12" xr3:uid="{00000000-0010-0000-1700-00000C000000}" name="Column12" totalsRowFunction="sum" dataDxfId="251" totalsRowDxfId="2">
      <calculatedColumnFormula>SUMIF(Table1731[Column1],Table161229[[#This Row],[موقع العمل]],$T$2:$T$26)</calculatedColumnFormula>
    </tableColumn>
    <tableColumn id="4" xr3:uid="{00000000-0010-0000-1700-000004000000}" name="عدد الايام" dataDxfId="291" totalsRowDxfId="3"/>
    <tableColumn id="7" xr3:uid="{00000000-0010-0000-1700-000007000000}" name="اجمالي التكلفة للعامل" dataDxfId="289" totalsRowDxfId="288">
      <calculatedColumnFormula>Table161229[[#This Row],[Column12]]</calculatedColumnFormula>
    </tableColumn>
    <tableColumn id="8" xr3:uid="{00000000-0010-0000-1700-000008000000}" name="اجمالي" totalsRowFunction="sum" dataDxfId="242" totalsRowDxfId="286">
      <calculatedColumnFormula>B69*J69</calculatedColumnFormula>
    </tableColumn>
    <tableColumn id="9" xr3:uid="{00000000-0010-0000-1700-000009000000}" name="%" totalsRowFunction="custom" totalsRowDxfId="285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264" totalsRowDxfId="3"/>
    <tableColumn id="2" xr3:uid="{00000000-0010-0000-1800-000002000000}" name="عدد" dataDxfId="262" totalsRowDxfId="3"/>
    <tableColumn id="3" xr3:uid="{00000000-0010-0000-1800-000003000000}" name="بيان" totalsRowLabel="Total" dataDxfId="264" totalsRowDxfId="3"/>
    <tableColumn id="11" xr3:uid="{00000000-0010-0000-1800-00000B000000}" name="Column2" dataDxfId="264" totalsRowDxfId="3"/>
    <tableColumn id="10" xr3:uid="{00000000-0010-0000-1800-00000A000000}" name="Column1" dataDxfId="264" totalsRowDxfId="3"/>
    <tableColumn id="12" xr3:uid="{00000000-0010-0000-1800-00000C000000}" name="Column12" totalsRowFunction="sum" dataDxfId="279" totalsRowDxfId="2"/>
    <tableColumn id="4" xr3:uid="{00000000-0010-0000-1800-000004000000}" name="الوحده" dataDxfId="278" totalsRowDxfId="3"/>
    <tableColumn id="5" xr3:uid="{00000000-0010-0000-1800-000005000000}" name="الوزن" dataDxfId="264" totalsRowDxfId="3"/>
    <tableColumn id="6" xr3:uid="{00000000-0010-0000-1800-000006000000}" name="سعر الكيلو" dataDxfId="264" totalsRowDxfId="3"/>
    <tableColumn id="7" xr3:uid="{00000000-0010-0000-1800-000007000000}" name="سعر الشبك " dataDxfId="275" totalsRowDxfId="288"/>
    <tableColumn id="8" xr3:uid="{00000000-0010-0000-1800-000008000000}" name="اجمالي" totalsRowFunction="sum" dataDxfId="242" totalsRowDxfId="286">
      <calculatedColumnFormula>B65*Table161330[[#This Row],[سعر الشبك ]]</calculatedColumnFormula>
    </tableColumn>
    <tableColumn id="9" xr3:uid="{00000000-0010-0000-1800-000009000000}" name="%" totalsRowFunction="custom" totalsRowDxfId="1220" dataCellStyle="Percent" totalsRow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267"/>
    <tableColumn id="2" xr3:uid="{00000000-0010-0000-1900-000002000000}" name="خارجي" dataDxfId="947"/>
    <tableColumn id="3" xr3:uid="{00000000-0010-0000-1900-000003000000}" name="داخلي" dataDxfId="947"/>
    <tableColumn id="4" xr3:uid="{00000000-0010-0000-1900-000004000000}" name="بدل الوجبة" dataDxfId="947"/>
    <tableColumn id="5" xr3:uid="{00000000-0010-0000-1900-000005000000}" name="دبابة" dataDxfId="947"/>
    <tableColumn id="6" xr3:uid="{00000000-0010-0000-1900-000006000000}" name="جامبو" dataDxfId="947"/>
    <tableColumn id="7" xr3:uid="{00000000-0010-0000-1900-000007000000}" name="الاقامة" dataDxfId="947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264"/>
    <tableColumn id="4" xr3:uid="{00000000-0010-0000-1A00-000004000000}" name="Column22" dataDxfId="264"/>
    <tableColumn id="5" xr3:uid="{00000000-0010-0000-1A00-000005000000}" name="Column23" dataDxfId="264"/>
    <tableColumn id="3" xr3:uid="{00000000-0010-0000-1A00-000003000000}" name="Column3" dataDxfId="263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262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890" totalsRowDxfId="1049"/>
    <tableColumn id="6" xr3:uid="{00000000-0010-0000-1B00-000006000000}" name="الطول بالمتر" dataDxfId="890" totalsRowDxfId="1049"/>
    <tableColumn id="5" xr3:uid="{00000000-0010-0000-1B00-000005000000}" name="وزن المتر " dataDxfId="890" totalsRowDxfId="1049"/>
    <tableColumn id="4" xr3:uid="{00000000-0010-0000-1B00-000004000000}" name="سعر الكيلو" dataDxfId="890" totalsRowDxfId="1049"/>
    <tableColumn id="3" xr3:uid="{00000000-0010-0000-1B00-000003000000}" name="اجمالي عدد " totalsRowFunction="custom" totalsRowDxfId="1049">
      <totalsRowFormula>Table8[[#Totals],[اجمالي التكلفة]]/B1</totalsRowFormula>
    </tableColumn>
    <tableColumn id="2" xr3:uid="{00000000-0010-0000-1B00-000002000000}" name="اجمالي التكلفة" totalsRowFunction="sum" dataDxfId="1058" totalsRowDxfId="1057">
      <calculatedColumnFormula>B3*D3</calculatedColumnFormula>
    </tableColumn>
    <tableColumn id="9" xr3:uid="{00000000-0010-0000-1B00-000009000000}" name="Column1" dataDxfId="890" totalsRowDxfId="1049"/>
    <tableColumn id="10" xr3:uid="{00000000-0010-0000-1B00-00000A000000}" name="Column2" dataDxfId="890" totalsRowDxfId="1049"/>
    <tableColumn id="11" xr3:uid="{00000000-0010-0000-1B00-00000B000000}" name="Column3" dataDxfId="890" totalsRowDxfId="1049"/>
    <tableColumn id="12" xr3:uid="{00000000-0010-0000-1B00-00000C000000}" name="Column4" dataDxfId="890" totalsRowDxfId="1049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249" totalsRowDxfId="3"/>
    <tableColumn id="2" xr3:uid="{00000000-0010-0000-1C00-000002000000}" name="عدد" dataDxfId="246" totalsRowDxfId="3"/>
    <tableColumn id="3" xr3:uid="{00000000-0010-0000-1C00-000003000000}" name="بيان" totalsRowLabel="Total" dataDxfId="249" totalsRowDxfId="3"/>
    <tableColumn id="11" xr3:uid="{00000000-0010-0000-1C00-00000B000000}" name="Column2" dataDxfId="249" totalsRowDxfId="3"/>
    <tableColumn id="10" xr3:uid="{00000000-0010-0000-1C00-00000A000000}" name="Column1" dataDxfId="249" totalsRowDxfId="3"/>
    <tableColumn id="12" xr3:uid="{00000000-0010-0000-1C00-00000C000000}" name="Column12" dataDxfId="249" totalsRowDxfId="3"/>
    <tableColumn id="4" xr3:uid="{00000000-0010-0000-1C00-000004000000}" name="الوحده" totalsRowLabel="total" dataDxfId="249" totalsRowDxfId="3"/>
    <tableColumn id="5" xr3:uid="{00000000-0010-0000-1C00-000005000000}" name="الوزن" dataDxfId="249" totalsRowDxfId="3"/>
    <tableColumn id="6" xr3:uid="{00000000-0010-0000-1C00-000006000000}" name="سعر الكيلو" dataDxfId="249" totalsRowDxfId="3"/>
    <tableColumn id="7" xr3:uid="{00000000-0010-0000-1C00-000007000000}" name="سعر الشبك " dataDxfId="318" totalsRowDxfId="288">
      <calculatedColumnFormula>Sheet2!B2</calculatedColumnFormula>
    </tableColumn>
    <tableColumn id="8" xr3:uid="{00000000-0010-0000-1C00-000008000000}" name="اجمالي" totalsRowFunction="sum" dataDxfId="242" totalsRowDxfId="286">
      <calculatedColumnFormula>M26*U26</calculatedColumnFormula>
    </tableColumn>
    <tableColumn id="9" xr3:uid="{00000000-0010-0000-1C00-000009000000}" name="%" totalsRowFunction="custom" totalsRowDxfId="285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249" totalsRowDxfId="245"/>
    <tableColumn id="2" xr3:uid="{00000000-0010-0000-1D00-000002000000}" name="عدد" dataDxfId="246" totalsRowDxfId="245"/>
    <tableColumn id="3" xr3:uid="{00000000-0010-0000-1D00-000003000000}" name="بيان" totalsRowLabel="Total" dataDxfId="249" totalsRowDxfId="245"/>
    <tableColumn id="11" xr3:uid="{00000000-0010-0000-1D00-00000B000000}" name="Column2" dataDxfId="249" totalsRowDxfId="245"/>
    <tableColumn id="10" xr3:uid="{00000000-0010-0000-1D00-00000A000000}" name="Column1" dataDxfId="249" totalsRowDxfId="245"/>
    <tableColumn id="12" xr3:uid="{00000000-0010-0000-1D00-00000C000000}" name="Column12" dataDxfId="251" totalsRowDxfId="250"/>
    <tableColumn id="4" xr3:uid="{00000000-0010-0000-1D00-000004000000}" name="الوحده" dataDxfId="249" totalsRowDxfId="245"/>
    <tableColumn id="5" xr3:uid="{00000000-0010-0000-1D00-000005000000}" name="الوزن" dataDxfId="249" totalsRowDxfId="245"/>
    <tableColumn id="6" xr3:uid="{00000000-0010-0000-1D00-000006000000}" name="سعر الكيلو" dataDxfId="249" totalsRowDxfId="245"/>
    <tableColumn id="7" xr3:uid="{00000000-0010-0000-1D00-000007000000}" name="سعر الشبك " dataDxfId="318" totalsRowDxfId="243">
      <calculatedColumnFormula>Sheet2!B24</calculatedColumnFormula>
    </tableColumn>
    <tableColumn id="8" xr3:uid="{00000000-0010-0000-1D00-000008000000}" name="اجمالي" totalsRowFunction="sum" dataDxfId="242" totalsRowDxfId="241">
      <calculatedColumnFormula>M11*U11</calculatedColumnFormula>
    </tableColumn>
    <tableColumn id="9" xr3:uid="{00000000-0010-0000-1D00-000009000000}" name="%" totalsRowFunction="custom" totalsRowDxfId="240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249"/>
    <tableColumn id="2" xr3:uid="{00000000-0010-0000-1E00-000002000000}" name="عدد" totalsRowFunction="count" dataDxfId="249">
      <calculatedColumnFormula>M20*4</calculatedColumnFormula>
    </tableColumn>
    <tableColumn id="3" xr3:uid="{00000000-0010-0000-1E00-000003000000}" name="بيان" totalsRowLabel="Total" dataDxfId="249"/>
    <tableColumn id="11" xr3:uid="{00000000-0010-0000-1E00-00000B000000}" name="Column2" dataDxfId="249"/>
    <tableColumn id="10" xr3:uid="{00000000-0010-0000-1E00-00000A000000}" name="Column1" dataDxfId="249"/>
    <tableColumn id="12" xr3:uid="{00000000-0010-0000-1E00-00000C000000}" name="Column12" totalsRowFunction="sum" dataDxfId="2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249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246"/>
    <tableColumn id="7" xr3:uid="{00000000-0010-0000-1E00-000007000000}" name="سعر الشبك " dataDxfId="318">
      <calculatedColumnFormula>S21*$S$2/1000</calculatedColumnFormula>
    </tableColumn>
    <tableColumn id="8" xr3:uid="{00000000-0010-0000-1E00-000008000000}" name="اجمالي" totalsRowFunction="sum" dataDxfId="242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267"/>
    <tableColumn id="2" xr3:uid="{00000000-0010-0000-1F00-000002000000}" name="المعدل" dataDxfId="267"/>
    <tableColumn id="3" xr3:uid="{00000000-0010-0000-1F00-000003000000}" name="الوحدة" dataDxfId="267"/>
    <tableColumn id="4" xr3:uid="{00000000-0010-0000-1F00-000004000000}" name="Column4" dataDxfId="311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267"/>
    <tableColumn id="2" xr3:uid="{00000000-0010-0000-2000-000002000000}" name="Column2" dataDxfId="311"/>
    <tableColumn id="3" xr3:uid="{00000000-0010-0000-2000-000003000000}" name="Column3" dataDxfId="267"/>
    <tableColumn id="4" xr3:uid="{00000000-0010-0000-2000-000004000000}" name="Column4" dataDxfId="267"/>
    <tableColumn id="5" xr3:uid="{00000000-0010-0000-2000-000005000000}" name="Column5" dataDxfId="267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249" totalsRowDxfId="3"/>
    <tableColumn id="2" xr3:uid="{00000000-0010-0000-2100-000002000000}" name="عدد" dataDxfId="262" totalsRowDxfId="3">
      <calculatedColumnFormula>IF((تسعير!$AU$14="بالتات"),0,M52-2)</calculatedColumnFormula>
    </tableColumn>
    <tableColumn id="3" xr3:uid="{00000000-0010-0000-2100-000003000000}" name="بيان" totalsRowLabel="Total" dataDxfId="301" totalsRowDxfId="3"/>
    <tableColumn id="5" xr3:uid="{00000000-0010-0000-2100-000005000000}" name="اليومية / الاجرة" dataDxfId="301" totalsRowDxfId="3"/>
    <tableColumn id="6" xr3:uid="{00000000-0010-0000-2100-000006000000}" name="بدل الوجبة" dataDxfId="299" totalsRowDxfId="3"/>
    <tableColumn id="11" xr3:uid="{00000000-0010-0000-2100-00000B000000}" name="موقع العمل" dataDxfId="264" totalsRowDxfId="3">
      <calculatedColumnFormula>تسعير!$AT$4</calculatedColumnFormula>
    </tableColumn>
    <tableColumn id="10" xr3:uid="{00000000-0010-0000-2100-00000A000000}" name="شيفت العمل" dataDxfId="249" totalsRowDxfId="3"/>
    <tableColumn id="12" xr3:uid="{00000000-0010-0000-2100-00000C000000}" name="Column12" totalsRowFunction="sum" dataDxfId="251" totalsRowDxfId="2">
      <calculatedColumnFormula>SUMIF(Table1769[Column1],Table161267[[#This Row],[موقع العمل]],$AE$2:$AE$8)</calculatedColumnFormula>
    </tableColumn>
    <tableColumn id="4" xr3:uid="{00000000-0010-0000-2100-000004000000}" name="عدد الايام" dataDxfId="291" totalsRowDxfId="3"/>
    <tableColumn id="7" xr3:uid="{00000000-0010-0000-2100-000007000000}" name="اجمالي التكلفة للعامل" dataDxfId="289" totalsRowDxfId="288">
      <calculatedColumnFormula>Table161267[[#This Row],[Column12]]</calculatedColumnFormula>
    </tableColumn>
    <tableColumn id="8" xr3:uid="{00000000-0010-0000-2100-000008000000}" name="اجمالي" totalsRowFunction="sum" dataDxfId="242" totalsRowDxfId="286">
      <calculatedColumnFormula>M55*U55</calculatedColumnFormula>
    </tableColumn>
    <tableColumn id="9" xr3:uid="{00000000-0010-0000-2100-000009000000}" name="%" totalsRowFunction="custom" totalsRowDxfId="285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62">
  <autoFilter ref="A11:B62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264"/>
    <tableColumn id="2" xr3:uid="{00000000-0010-0000-2200-000002000000}" name="عدد" dataDxfId="262">
      <calculatedColumnFormula>IF((Q65="الاسكندرية"),0.25,0.1)</calculatedColumnFormula>
    </tableColumn>
    <tableColumn id="3" xr3:uid="{00000000-0010-0000-2200-000003000000}" name="بيان" totalsRowLabel="Total" dataDxfId="264"/>
    <tableColumn id="11" xr3:uid="{00000000-0010-0000-2200-00000B000000}" name="Column2" dataDxfId="264"/>
    <tableColumn id="10" xr3:uid="{00000000-0010-0000-2200-00000A000000}" name="Column1" dataDxfId="264"/>
    <tableColumn id="12" xr3:uid="{00000000-0010-0000-2200-00000C000000}" name="Column12" totalsRowFunction="sum" dataDxfId="279"/>
    <tableColumn id="4" xr3:uid="{00000000-0010-0000-2200-000004000000}" name="الوحده" dataDxfId="278"/>
    <tableColumn id="5" xr3:uid="{00000000-0010-0000-2200-000005000000}" name="الوزن" dataDxfId="264"/>
    <tableColumn id="6" xr3:uid="{00000000-0010-0000-2200-000006000000}" name="سعر الكيلو" dataDxfId="264"/>
    <tableColumn id="7" xr3:uid="{00000000-0010-0000-2200-000007000000}" name="سعر الشبك " dataDxfId="275">
      <calculatedColumnFormula>V48</calculatedColumnFormula>
    </tableColumn>
    <tableColumn id="8" xr3:uid="{00000000-0010-0000-2200-000008000000}" name="اجمالي" totalsRowFunction="sum" dataDxfId="242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267"/>
    <tableColumn id="2" xr3:uid="{00000000-0010-0000-2300-000002000000}" name="خارجي" dataDxfId="267"/>
    <tableColumn id="3" xr3:uid="{00000000-0010-0000-2300-000003000000}" name="داخلي" dataDxfId="267"/>
    <tableColumn id="4" xr3:uid="{00000000-0010-0000-2300-000004000000}" name="بدل الوجبة" dataDxfId="267"/>
    <tableColumn id="5" xr3:uid="{00000000-0010-0000-2300-000005000000}" name="دبابة" dataDxfId="267"/>
    <tableColumn id="6" xr3:uid="{00000000-0010-0000-2300-000006000000}" name="جامبو" dataDxfId="267"/>
    <tableColumn id="7" xr3:uid="{00000000-0010-0000-2300-000007000000}" name="الاقامة" dataDxfId="267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264"/>
    <tableColumn id="4" xr3:uid="{00000000-0010-0000-2400-000004000000}" name="Column22" dataDxfId="264"/>
    <tableColumn id="5" xr3:uid="{00000000-0010-0000-2400-000005000000}" name="Column23" dataDxfId="264"/>
    <tableColumn id="3" xr3:uid="{00000000-0010-0000-2400-000003000000}" name="Column3" dataDxfId="263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26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249"/>
    <tableColumn id="2" xr3:uid="{00000000-0010-0000-2500-000002000000}" name="عدد" dataDxfId="249">
      <calculatedColumnFormula>IF((N2="A1"),2,IF((N2="A2"),3,IF((N2="B1"),2.5,IF((N2="B2"),3,0))))</calculatedColumnFormula>
    </tableColumn>
    <tableColumn id="3" xr3:uid="{00000000-0010-0000-2500-000003000000}" name="بيان" totalsRowLabel="Total" dataDxfId="249"/>
    <tableColumn id="11" xr3:uid="{00000000-0010-0000-2500-00000B000000}" name="Column2" dataDxfId="249"/>
    <tableColumn id="10" xr3:uid="{00000000-0010-0000-2500-00000A000000}" name="Column1" dataDxfId="249"/>
    <tableColumn id="12" xr3:uid="{00000000-0010-0000-2500-00000C000000}" name="المسطح" totalsRowFunction="sum" dataDxfId="2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249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246">
      <calculatedColumnFormula>Table158[[#This Row],[المسطح]]*Table158[[#This Row],[عدد]]</calculatedColumnFormula>
    </tableColumn>
    <tableColumn id="7" xr3:uid="{00000000-0010-0000-2500-000007000000}" name="سعر الشبك " dataDxfId="244">
      <calculatedColumnFormula>S6*$S$2/1000</calculatedColumnFormula>
    </tableColumn>
    <tableColumn id="8" xr3:uid="{00000000-0010-0000-2500-000008000000}" name="اجمالي" totalsRowFunction="sum" dataDxfId="242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890" totalsRowDxfId="1049"/>
    <tableColumn id="6" xr3:uid="{00000000-0010-0000-2600-000006000000}" name="الطول بالمتر" dataDxfId="890" totalsRowDxfId="1049"/>
    <tableColumn id="5" xr3:uid="{00000000-0010-0000-2600-000005000000}" name="وزن المتر " dataDxfId="890" totalsRowDxfId="1049"/>
    <tableColumn id="4" xr3:uid="{00000000-0010-0000-2600-000004000000}" name="سعر الكيلو" dataDxfId="890" totalsRowDxfId="1049"/>
    <tableColumn id="3" xr3:uid="{00000000-0010-0000-2600-000003000000}" name="اجمالي عدد " totalsRowFunction="custom" totalsRowDxfId="1049">
      <totalsRowFormula>Table823[[#Totals],[اجمالي التكلفة]]/B1</totalsRowFormula>
    </tableColumn>
    <tableColumn id="2" xr3:uid="{00000000-0010-0000-2600-000002000000}" name="اجمالي التكلفة" totalsRowFunction="sum" dataDxfId="1058" totalsRowDxfId="1057"/>
    <tableColumn id="9" xr3:uid="{00000000-0010-0000-2600-000009000000}" name="Column1" dataDxfId="890" totalsRowDxfId="1049"/>
    <tableColumn id="10" xr3:uid="{00000000-0010-0000-2600-00000A000000}" name="Column2" dataDxfId="890" totalsRowDxfId="1049"/>
    <tableColumn id="11" xr3:uid="{00000000-0010-0000-2600-00000B000000}" name="Column3" dataDxfId="890" totalsRowDxfId="1049"/>
    <tableColumn id="12" xr3:uid="{00000000-0010-0000-2600-00000C000000}" name="Column4" dataDxfId="890" totalsRowDxfId="1049"/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249" totalsRowDxfId="3"/>
    <tableColumn id="2" xr3:uid="{00000000-0010-0000-2700-000002000000}" name="عدد" dataDxfId="246" totalsRowDxfId="3"/>
    <tableColumn id="3" xr3:uid="{00000000-0010-0000-2700-000003000000}" name="بيان" totalsRowLabel="Total" dataDxfId="249" totalsRowDxfId="3"/>
    <tableColumn id="11" xr3:uid="{00000000-0010-0000-2700-00000B000000}" name="Column2" dataDxfId="249" totalsRowDxfId="3"/>
    <tableColumn id="10" xr3:uid="{00000000-0010-0000-2700-00000A000000}" name="Column1" dataDxfId="249" totalsRowDxfId="3"/>
    <tableColumn id="12" xr3:uid="{00000000-0010-0000-2700-00000C000000}" name="Column12" dataDxfId="249" totalsRowDxfId="3"/>
    <tableColumn id="4" xr3:uid="{00000000-0010-0000-2700-000004000000}" name="الوحده" totalsRowLabel="total" dataDxfId="249" totalsRowDxfId="3"/>
    <tableColumn id="5" xr3:uid="{00000000-0010-0000-2700-000005000000}" name="الوزن" dataDxfId="249" totalsRowDxfId="3"/>
    <tableColumn id="6" xr3:uid="{00000000-0010-0000-2700-000006000000}" name="سعر الكيلو" dataDxfId="249" totalsRowDxfId="3"/>
    <tableColumn id="7" xr3:uid="{00000000-0010-0000-2700-000007000000}" name="سعر الشبك " dataDxfId="318" totalsRowDxfId="288">
      <calculatedColumnFormula>Sheet2!B2</calculatedColumnFormula>
    </tableColumn>
    <tableColumn id="8" xr3:uid="{00000000-0010-0000-2700-000008000000}" name="اجمالي" totalsRowFunction="sum" dataDxfId="242" totalsRowDxfId="286">
      <calculatedColumnFormula>M26*U26</calculatedColumnFormula>
    </tableColumn>
    <tableColumn id="9" xr3:uid="{00000000-0010-0000-2700-000009000000}" name="%" totalsRowFunction="custom" totalsRowDxfId="285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249" totalsRowDxfId="245"/>
    <tableColumn id="2" xr3:uid="{00000000-0010-0000-2800-000002000000}" name="عدد" dataDxfId="246" totalsRowDxfId="245"/>
    <tableColumn id="3" xr3:uid="{00000000-0010-0000-2800-000003000000}" name="بيان" totalsRowLabel="Total" dataDxfId="249" totalsRowDxfId="245"/>
    <tableColumn id="11" xr3:uid="{00000000-0010-0000-2800-00000B000000}" name="Column2" dataDxfId="249" totalsRowDxfId="245"/>
    <tableColumn id="10" xr3:uid="{00000000-0010-0000-2800-00000A000000}" name="Column1" dataDxfId="249" totalsRowDxfId="245"/>
    <tableColumn id="12" xr3:uid="{00000000-0010-0000-2800-00000C000000}" name="Column12" dataDxfId="251" totalsRowDxfId="250"/>
    <tableColumn id="4" xr3:uid="{00000000-0010-0000-2800-000004000000}" name="الوحده" dataDxfId="249" totalsRowDxfId="245"/>
    <tableColumn id="5" xr3:uid="{00000000-0010-0000-2800-000005000000}" name="الوزن" dataDxfId="249" totalsRowDxfId="245"/>
    <tableColumn id="6" xr3:uid="{00000000-0010-0000-2800-000006000000}" name="سعر الكيلو" dataDxfId="249" totalsRowDxfId="245"/>
    <tableColumn id="7" xr3:uid="{00000000-0010-0000-2800-000007000000}" name="سعر الشبك " dataDxfId="318" totalsRowDxfId="243">
      <calculatedColumnFormula>Sheet2!B24</calculatedColumnFormula>
    </tableColumn>
    <tableColumn id="8" xr3:uid="{00000000-0010-0000-2800-000008000000}" name="اجمالي" totalsRowFunction="sum" dataDxfId="242" totalsRowDxfId="241">
      <calculatedColumnFormula>M11*U11</calculatedColumnFormula>
    </tableColumn>
    <tableColumn id="9" xr3:uid="{00000000-0010-0000-2800-000009000000}" name="%" totalsRowFunction="custom" totalsRowDxfId="240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249"/>
    <tableColumn id="2" xr3:uid="{00000000-0010-0000-2900-000002000000}" name="عدد" totalsRowFunction="count" dataDxfId="249">
      <calculatedColumnFormula>M20*4</calculatedColumnFormula>
    </tableColumn>
    <tableColumn id="3" xr3:uid="{00000000-0010-0000-2900-000003000000}" name="بيان" totalsRowLabel="Total" dataDxfId="249"/>
    <tableColumn id="11" xr3:uid="{00000000-0010-0000-2900-00000B000000}" name="Column2" dataDxfId="249"/>
    <tableColumn id="10" xr3:uid="{00000000-0010-0000-2900-00000A000000}" name="Column1" dataDxfId="249"/>
    <tableColumn id="12" xr3:uid="{00000000-0010-0000-2900-00000C000000}" name="Column12" totalsRowFunction="sum" dataDxfId="2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249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246"/>
    <tableColumn id="7" xr3:uid="{00000000-0010-0000-2900-000007000000}" name="سعر الشبك " dataDxfId="318">
      <calculatedColumnFormula>S21*$S$2/1000</calculatedColumnFormula>
    </tableColumn>
    <tableColumn id="8" xr3:uid="{00000000-0010-0000-2900-000008000000}" name="اجمالي" totalsRowFunction="sum" dataDxfId="242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267"/>
    <tableColumn id="2" xr3:uid="{00000000-0010-0000-2A00-000002000000}" name="المعدل" dataDxfId="267"/>
    <tableColumn id="3" xr3:uid="{00000000-0010-0000-2A00-000003000000}" name="الوحدة" dataDxfId="267"/>
    <tableColumn id="4" xr3:uid="{00000000-0010-0000-2A00-000004000000}" name="Column4" dataDxfId="311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249" totalsRowDxfId="3"/>
    <tableColumn id="2" xr3:uid="{00000000-0010-0000-2B00-000002000000}" name="عدد" dataDxfId="262" totalsRowDxfId="3">
      <calculatedColumnFormula>IF((تسعير!$BF$14="بالتات"),0,M52-2)</calculatedColumnFormula>
    </tableColumn>
    <tableColumn id="3" xr3:uid="{00000000-0010-0000-2B00-000003000000}" name="بيان" totalsRowLabel="Total" dataDxfId="301" totalsRowDxfId="3"/>
    <tableColumn id="5" xr3:uid="{00000000-0010-0000-2B00-000005000000}" name="اليومية / الاجرة" dataDxfId="301" totalsRowDxfId="3"/>
    <tableColumn id="6" xr3:uid="{00000000-0010-0000-2B00-000006000000}" name="بدل الوجبة" dataDxfId="299" totalsRowDxfId="3"/>
    <tableColumn id="11" xr3:uid="{00000000-0010-0000-2B00-00000B000000}" name="موقع العمل" dataDxfId="264" totalsRowDxfId="3">
      <calculatedColumnFormula>تسعير!$BE$4</calculatedColumnFormula>
    </tableColumn>
    <tableColumn id="10" xr3:uid="{00000000-0010-0000-2B00-00000A000000}" name="شيفت العمل" dataDxfId="249" totalsRowDxfId="3"/>
    <tableColumn id="12" xr3:uid="{00000000-0010-0000-2B00-00000C000000}" name="Column12" totalsRowFunction="sum" dataDxfId="251" totalsRowDxfId="2"/>
    <tableColumn id="4" xr3:uid="{00000000-0010-0000-2B00-000004000000}" name="عدد الايام" dataDxfId="291" totalsRowDxfId="3"/>
    <tableColumn id="7" xr3:uid="{00000000-0010-0000-2B00-000007000000}" name="اجمالي التكلفة للعامل" dataDxfId="289" totalsRowDxfId="288">
      <calculatedColumnFormula>Table16126744[[#This Row],[Column12]]</calculatedColumnFormula>
    </tableColumn>
    <tableColumn id="8" xr3:uid="{00000000-0010-0000-2B00-000008000000}" name="اجمالي" totalsRowFunction="sum" dataDxfId="242" totalsRowDxfId="286">
      <calculatedColumnFormula>M55*U55</calculatedColumnFormula>
    </tableColumn>
    <tableColumn id="9" xr3:uid="{00000000-0010-0000-2B00-000009000000}" name="%" totalsRowFunction="custom" totalsRowDxfId="285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F536301D-E310-4931-B653-AD9E1B7B09D3}" name="Table115" displayName="Table115" ref="AH45:AL46" totalsRowShown="0" headerRowDxfId="1600" dataDxfId="1594">
  <autoFilter ref="AH45:AL46" xr:uid="{F536301D-E310-4931-B653-AD9E1B7B09D3}"/>
  <tableColumns count="5">
    <tableColumn id="1" xr3:uid="{B66822DD-66EA-47D6-AC82-0B29ADD627D6}" name="المنتج" dataDxfId="1594"/>
    <tableColumn id="2" xr3:uid="{AE833311-1057-4EA5-AA4E-EE00ACCD3B4E}" name="العرض" dataDxfId="1594"/>
    <tableColumn id="3" xr3:uid="{31367D99-4075-4A3C-BDF9-E043012B0CE2}" name="الامتداد" dataDxfId="1594"/>
    <tableColumn id="4" xr3:uid="{9BAFA9A6-E27F-4459-96B4-2DA640D3F881}" name="لون الشاسية" dataDxfId="1594"/>
    <tableColumn id="5" xr3:uid="{6FCA19AB-1A7F-4808-8A43-2747203A7904}" name="لون  السيستم / اللوفرز" dataDxfId="1594"/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264"/>
    <tableColumn id="2" xr3:uid="{00000000-0010-0000-2C00-000002000000}" name="عدد" dataDxfId="262">
      <calculatedColumnFormula>IF((Q65="الاسكندرية"),0.25,0.1)</calculatedColumnFormula>
    </tableColumn>
    <tableColumn id="3" xr3:uid="{00000000-0010-0000-2C00-000003000000}" name="بيان" totalsRowLabel="Total" dataDxfId="264"/>
    <tableColumn id="11" xr3:uid="{00000000-0010-0000-2C00-00000B000000}" name="Column2" dataDxfId="264"/>
    <tableColumn id="10" xr3:uid="{00000000-0010-0000-2C00-00000A000000}" name="Column1" dataDxfId="264"/>
    <tableColumn id="12" xr3:uid="{00000000-0010-0000-2C00-00000C000000}" name="Column12" totalsRowFunction="sum" dataDxfId="279"/>
    <tableColumn id="4" xr3:uid="{00000000-0010-0000-2C00-000004000000}" name="الوحده" dataDxfId="278"/>
    <tableColumn id="5" xr3:uid="{00000000-0010-0000-2C00-000005000000}" name="الوزن" dataDxfId="264"/>
    <tableColumn id="6" xr3:uid="{00000000-0010-0000-2C00-000006000000}" name="سعر الكيلو" dataDxfId="264"/>
    <tableColumn id="7" xr3:uid="{00000000-0010-0000-2C00-000007000000}" name="سعر الشبك " dataDxfId="275">
      <calculatedColumnFormula>V48</calculatedColumnFormula>
    </tableColumn>
    <tableColumn id="8" xr3:uid="{00000000-0010-0000-2C00-000008000000}" name="اجمالي" totalsRowFunction="sum" dataDxfId="242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947">
  <autoFilter ref="Y1:AE20" xr:uid="{00000000-0009-0000-0100-00002D000000}"/>
  <tableColumns count="7">
    <tableColumn id="1" xr3:uid="{00000000-0010-0000-2D00-000001000000}" name="Column1" dataDxfId="947"/>
    <tableColumn id="2" xr3:uid="{00000000-0010-0000-2D00-000002000000}" name="خارجي" dataDxfId="947"/>
    <tableColumn id="3" xr3:uid="{00000000-0010-0000-2D00-000003000000}" name="داخلي" dataDxfId="947"/>
    <tableColumn id="4" xr3:uid="{00000000-0010-0000-2D00-000004000000}" name="بدل الوجبة" dataDxfId="947"/>
    <tableColumn id="5" xr3:uid="{00000000-0010-0000-2D00-000005000000}" name="دبابة" dataDxfId="947"/>
    <tableColumn id="6" xr3:uid="{00000000-0010-0000-2D00-000006000000}" name="جامبو" dataDxfId="947"/>
    <tableColumn id="7" xr3:uid="{00000000-0010-0000-2D00-000007000000}" name="الاقامة" dataDxfId="94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264"/>
    <tableColumn id="4" xr3:uid="{00000000-0010-0000-2E00-000004000000}" name="Column22" dataDxfId="264"/>
    <tableColumn id="5" xr3:uid="{00000000-0010-0000-2E00-000005000000}" name="Column23" dataDxfId="264"/>
    <tableColumn id="3" xr3:uid="{00000000-0010-0000-2E00-000003000000}" name="Column3" dataDxfId="26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262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249"/>
    <tableColumn id="2" xr3:uid="{00000000-0010-0000-2F00-000002000000}" name="عدد" dataDxfId="249">
      <calculatedColumnFormula>IF((N2="c1"),3,IF((N2="c2"),4,IF((N2="d1"),4,IF((N2="d2"),5,0))))</calculatedColumnFormula>
    </tableColumn>
    <tableColumn id="3" xr3:uid="{00000000-0010-0000-2F00-000003000000}" name="بيان" totalsRowLabel="Total" dataDxfId="249"/>
    <tableColumn id="11" xr3:uid="{00000000-0010-0000-2F00-00000B000000}" name="Column2" dataDxfId="249"/>
    <tableColumn id="10" xr3:uid="{00000000-0010-0000-2F00-00000A000000}" name="Column1" dataDxfId="249"/>
    <tableColumn id="12" xr3:uid="{00000000-0010-0000-2F00-00000C000000}" name="المسطح" totalsRowFunction="sum" dataDxfId="2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249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246"/>
    <tableColumn id="7" xr3:uid="{00000000-0010-0000-2F00-000007000000}" name="سعر الشبك " dataDxfId="244">
      <calculatedColumnFormula>S6*$S$2/1000</calculatedColumnFormula>
    </tableColumn>
    <tableColumn id="8" xr3:uid="{00000000-0010-0000-2F00-000008000000}" name="اجمالي" totalsRowFunction="sum" dataDxfId="242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931"/>
    <tableColumn id="2" xr3:uid="{00000000-0010-0000-3000-000002000000}" name="المقاس" dataDxfId="890"/>
    <tableColumn id="4" xr3:uid="{00000000-0010-0000-3000-000004000000}" name="ميزان" dataDxfId="906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905"/>
    <tableColumn id="2" xr3:uid="{00000000-0010-0000-3100-000002000000}" name="Column2" dataDxfId="890"/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890" totalsRowDxfId="925"/>
    <tableColumn id="2" xr3:uid="{00000000-0010-0000-3200-000002000000}" name="عدد/الشمسية" dataDxfId="901" totalsRowDxfId="921"/>
    <tableColumn id="3" xr3:uid="{00000000-0010-0000-3200-000003000000}" name="سعر الوحدة" dataDxfId="890" totalsRowDxfId="921"/>
    <tableColumn id="4" xr3:uid="{00000000-0010-0000-3200-000004000000}" name="قيمة" totalsRowFunction="sum" dataDxfId="890" totalsRowDxfId="919"/>
  </tableColumns>
  <tableStyleInfo name="TableStyleLight18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890"/>
    <tableColumn id="2" xr3:uid="{00000000-0010-0000-3300-000002000000}" name="امتار عادية" dataDxfId="890"/>
    <tableColumn id="4" xr3:uid="{00000000-0010-0000-3300-000004000000}" name="امتار single" dataDxfId="890"/>
    <tableColumn id="6" xr3:uid="{00000000-0010-0000-3300-000006000000}" name="امتار douple" dataDxfId="890"/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890"/>
    <tableColumn id="2" xr3:uid="{00000000-0010-0000-3400-000002000000}" name="Column2" dataDxfId="890">
      <calculatedColumnFormula>W9</calculatedColumnFormula>
    </tableColumn>
  </tableColumns>
  <tableStyleInfo name="TableStyleLight17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588" totalsRowDxfId="10"/>
    <tableColumn id="2" xr3:uid="{BFD71D91-82BE-4E36-ABA2-D621CC74A72F}" name="الصنف" dataDxfId="1588" totalsRowDxfId="8"/>
    <tableColumn id="3" xr3:uid="{FA2200A0-4790-4626-B4EF-26AF375E7D08}" name="الوحده" dataDxfId="1588" totalsRowDxfId="8"/>
    <tableColumn id="13" xr3:uid="{1B9DE2C2-E66F-49FF-BF0C-4005C087BC2A}" name="متطلبات انتاج الشمسيه 2.5" dataDxfId="1589" totalsRowDxfId="6"/>
    <tableColumn id="4" xr3:uid="{A25EDD6F-7BF8-4633-A44E-9AA34FABA3E5}" name="متطلبات انتاج الشمسيه 3" dataDxfId="1588" totalsRowDxfId="6"/>
    <tableColumn id="9" xr3:uid="{F8C4B6ED-C6D0-4793-8425-4DB2E6AEB8C7}" name="حهة التصنيع" dataDxfId="1587" totalsRowDxfId="5"/>
    <tableColumn id="10" xr3:uid="{07E26081-B66A-4CF4-A6F3-959C28FB1681}" name="سعر" dataDxfId="1586" totalsRowDxfId="4"/>
    <tableColumn id="11" xr3:uid="{533F2344-E7A1-4D72-BD1C-8B42EA41C0CA}" name="3" totalsRowFunction="sum" dataDxfId="1585" totalsRowDxfId="3">
      <calculatedColumnFormula>U4*S4</calculatedColumnFormula>
    </tableColumn>
    <tableColumn id="12" xr3:uid="{D07D845E-2930-453E-8278-6592A65F5FE9}" name="2.5" totalsRowFunction="sum" dataDxfId="1584" totalsRowDxfId="2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908"/>
    <tableColumn id="2" xr3:uid="{00000000-0010-0000-3600-000002000000}" name="الناتج" dataDxfId="909"/>
    <tableColumn id="3" xr3:uid="{00000000-0010-0000-3600-000003000000}" name="Column1" dataDxfId="908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5" totalsRowShown="0">
  <autoFilter ref="S2:T5" xr:uid="{00000000-0009-0000-0100-00002E000000}"/>
  <tableColumns count="2">
    <tableColumn id="2" xr3:uid="{00000000-0010-0000-3700-000002000000}" name="المقاس" dataDxfId="907"/>
    <tableColumn id="4" xr3:uid="{00000000-0010-0000-3700-000004000000}" name="ميزان" dataDxfId="906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905"/>
    <tableColumn id="2" xr3:uid="{00000000-0010-0000-3800-000002000000}" name="Column2" dataDxfId="890"/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890" totalsRowDxfId="250"/>
    <tableColumn id="2" xr3:uid="{00000000-0010-0000-3900-000002000000}" name="عدد/الشمسية" dataDxfId="901" totalsRowDxfId="250"/>
    <tableColumn id="3" xr3:uid="{00000000-0010-0000-3900-000003000000}" name="سعر الوحدة" dataDxfId="890" totalsRowDxfId="250"/>
    <tableColumn id="4" xr3:uid="{00000000-0010-0000-3900-000004000000}" name="قيمة" totalsRowFunction="sum" dataDxfId="890" totalsRowDxfId="250"/>
  </tableColumns>
  <tableStyleInfo name="TableStyleLight18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890"/>
    <tableColumn id="2" xr3:uid="{00000000-0010-0000-3A00-000002000000}" name="امتار عادية" dataDxfId="890"/>
    <tableColumn id="4" xr3:uid="{00000000-0010-0000-3A00-000004000000}" name="امتار single" dataDxfId="890"/>
    <tableColumn id="6" xr3:uid="{00000000-0010-0000-3A00-000006000000}" name="امتار douple" dataDxfId="890"/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890"/>
    <tableColumn id="2" xr3:uid="{00000000-0010-0000-3B00-000002000000}" name="Column2" dataDxfId="89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1" totalsRowShown="0">
  <autoFilter ref="V17:W21" xr:uid="{00000000-0009-0000-0100-000033000000}"/>
  <tableColumns count="2">
    <tableColumn id="1" xr3:uid="{00000000-0010-0000-3C00-000001000000}" name="Column1" dataDxfId="885"/>
    <tableColumn id="2" xr3:uid="{00000000-0010-0000-3C00-000002000000}" name="Column2" dataDxfId="885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885"/>
    <tableColumn id="2" xr3:uid="{00000000-0010-0000-3D00-000002000000}" name="الناتج" dataDxfId="886"/>
    <tableColumn id="3" xr3:uid="{00000000-0010-0000-3D00-000003000000}" name="Column1" dataDxfId="885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845" totalsRowDxfId="844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0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262" totalsRowDxfId="3">
      <calculatedColumnFormula>I28</calculatedColumnFormula>
    </tableColumn>
    <tableColumn id="3" xr3:uid="{00000000-0010-0000-3F00-000003000000}" name="بيان" totalsRowLabel="Total" dataDxfId="830" totalsRowDxfId="3"/>
    <tableColumn id="5" xr3:uid="{00000000-0010-0000-3F00-000005000000}" name="اليومية / الاجرة" dataDxfId="301" totalsRowDxfId="3"/>
    <tableColumn id="6" xr3:uid="{00000000-0010-0000-3F00-000006000000}" name="بدل الوجبة" dataDxfId="299" totalsRowDxfId="3"/>
    <tableColumn id="11" xr3:uid="{00000000-0010-0000-3F00-00000B000000}" name="موقع العمل" dataDxfId="264" totalsRowDxfId="3">
      <calculatedColumnFormula>تسعير!$T$45</calculatedColumnFormula>
    </tableColumn>
    <tableColumn id="10" xr3:uid="{00000000-0010-0000-3F00-00000A000000}" name="شيفت العمل" dataDxfId="249" totalsRowDxfId="3"/>
    <tableColumn id="12" xr3:uid="{00000000-0010-0000-3F00-00000C000000}" name="Column12" totalsRowFunction="sum" dataDxfId="251" totalsRowDxfId="2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291" totalsRowDxfId="3"/>
    <tableColumn id="7" xr3:uid="{00000000-0010-0000-3F00-000007000000}" name="اجمالي التكلفة للعامل" dataDxfId="289" totalsRowDxfId="288">
      <calculatedColumnFormula>Table161243[[#This Row],[Column12]]</calculatedColumnFormula>
    </tableColumn>
    <tableColumn id="8" xr3:uid="{00000000-0010-0000-3F00-000008000000}" name="اجمالي" totalsRowFunction="sum" dataDxfId="242" totalsRowDxfId="286">
      <calculatedColumnFormula>I31*Q31</calculatedColumnFormula>
    </tableColumn>
    <tableColumn id="9" xr3:uid="{00000000-0010-0000-3F00-000009000000}" name="%" totalsRowFunction="custom" totalsRowDxfId="285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583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1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264"/>
    <tableColumn id="4" xr3:uid="{00000000-0010-0000-4000-000004000000}" name="Column22" dataDxfId="264"/>
    <tableColumn id="5" xr3:uid="{00000000-0010-0000-4000-000005000000}" name="Column23" dataDxfId="264"/>
    <tableColumn id="3" xr3:uid="{00000000-0010-0000-4000-000003000000}" name="Column3" dataDxfId="263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262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845" totalsRowDxfId="84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0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262" totalsRowDxfId="3">
      <calculatedColumnFormula>I61</calculatedColumnFormula>
    </tableColumn>
    <tableColumn id="3" xr3:uid="{00000000-0010-0000-4200-000003000000}" name="بيان" totalsRowLabel="Total" dataDxfId="830" totalsRowDxfId="3"/>
    <tableColumn id="5" xr3:uid="{00000000-0010-0000-4200-000005000000}" name="اليومية / الاجرة" dataDxfId="301" totalsRowDxfId="3"/>
    <tableColumn id="6" xr3:uid="{00000000-0010-0000-4200-000006000000}" name="بدل الوجبة" dataDxfId="299" totalsRowDxfId="3"/>
    <tableColumn id="11" xr3:uid="{00000000-0010-0000-4200-00000B000000}" name="موقع العمل" dataDxfId="264" totalsRowDxfId="3">
      <calculatedColumnFormula>تسعير!$T$63</calculatedColumnFormula>
    </tableColumn>
    <tableColumn id="10" xr3:uid="{00000000-0010-0000-4200-00000A000000}" name="شيفت العمل" dataDxfId="249" totalsRowDxfId="3"/>
    <tableColumn id="12" xr3:uid="{00000000-0010-0000-4200-00000C000000}" name="Column12" totalsRowFunction="sum" dataDxfId="251" totalsRowDxfId="2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291" totalsRowDxfId="3"/>
    <tableColumn id="7" xr3:uid="{00000000-0010-0000-4200-000007000000}" name="اجمالي التكلفة للعامل" dataDxfId="289" totalsRowDxfId="288">
      <calculatedColumnFormula>Table16124360[[#This Row],[Column12]]</calculatedColumnFormula>
    </tableColumn>
    <tableColumn id="8" xr3:uid="{00000000-0010-0000-4200-000008000000}" name="اجمالي" totalsRowFunction="sum" dataDxfId="242" totalsRowDxfId="286">
      <calculatedColumnFormula>I64*Q64</calculatedColumnFormula>
    </tableColumn>
    <tableColumn id="9" xr3:uid="{00000000-0010-0000-4200-000009000000}" name="%" totalsRowFunction="custom" totalsRowDxfId="285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264"/>
    <tableColumn id="4" xr3:uid="{00000000-0010-0000-4300-000004000000}" name="Column22" dataDxfId="264"/>
    <tableColumn id="5" xr3:uid="{00000000-0010-0000-4300-000005000000}" name="Column23" dataDxfId="264"/>
    <tableColumn id="3" xr3:uid="{00000000-0010-0000-4300-000003000000}" name="Column3" dataDxfId="263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262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249" totalsRowDxfId="3"/>
    <tableColumn id="2" xr3:uid="{00000000-0010-0000-4400-000002000000}" name="عدد" dataDxfId="246" totalsRowDxfId="3"/>
    <tableColumn id="3" xr3:uid="{00000000-0010-0000-4400-000003000000}" name="بيان" totalsRowLabel="Total" dataDxfId="249" totalsRowDxfId="3"/>
    <tableColumn id="11" xr3:uid="{00000000-0010-0000-4400-00000B000000}" name="Column2" dataDxfId="249" totalsRowDxfId="3"/>
    <tableColumn id="10" xr3:uid="{00000000-0010-0000-4400-00000A000000}" name="Column1" dataDxfId="249" totalsRowDxfId="3"/>
    <tableColumn id="12" xr3:uid="{00000000-0010-0000-4400-00000C000000}" name="Column12" dataDxfId="249" totalsRowDxfId="3"/>
    <tableColumn id="4" xr3:uid="{00000000-0010-0000-4400-000004000000}" name="الوحده" totalsRowLabel="total" dataDxfId="249" totalsRowDxfId="3"/>
    <tableColumn id="5" xr3:uid="{00000000-0010-0000-4400-000005000000}" name="الوزن" dataDxfId="249" totalsRowDxfId="3"/>
    <tableColumn id="6" xr3:uid="{00000000-0010-0000-4400-000006000000}" name="سعر الكيلو" dataDxfId="249" totalsRowDxfId="3"/>
    <tableColumn id="7" xr3:uid="{00000000-0010-0000-4400-000007000000}" name="سعر الشبك " dataDxfId="318" totalsRowDxfId="288">
      <calculatedColumnFormula>Sheet2!B6</calculatedColumnFormula>
    </tableColumn>
    <tableColumn id="8" xr3:uid="{00000000-0010-0000-4400-000008000000}" name="اجمالي" totalsRowFunction="sum" dataDxfId="242" totalsRowDxfId="286">
      <calculatedColumnFormula>M28*U28</calculatedColumnFormula>
    </tableColumn>
    <tableColumn id="9" xr3:uid="{00000000-0010-0000-4400-000009000000}" name="%" totalsRowFunction="custom" totalsRowDxfId="285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249" totalsRowDxfId="245"/>
    <tableColumn id="2" xr3:uid="{00000000-0010-0000-4500-000002000000}" name="عدد" dataDxfId="246" totalsRowDxfId="245"/>
    <tableColumn id="3" xr3:uid="{00000000-0010-0000-4500-000003000000}" name="بيان" totalsRowLabel="Total" dataDxfId="249" totalsRowDxfId="245"/>
    <tableColumn id="11" xr3:uid="{00000000-0010-0000-4500-00000B000000}" name="Column2" dataDxfId="249" totalsRowDxfId="245"/>
    <tableColumn id="10" xr3:uid="{00000000-0010-0000-4500-00000A000000}" name="Column1" dataDxfId="249" totalsRowDxfId="245"/>
    <tableColumn id="12" xr3:uid="{00000000-0010-0000-4500-00000C000000}" name="Column12" dataDxfId="251" totalsRowDxfId="250"/>
    <tableColumn id="4" xr3:uid="{00000000-0010-0000-4500-000004000000}" name="الوحده" dataDxfId="249" totalsRowDxfId="245"/>
    <tableColumn id="5" xr3:uid="{00000000-0010-0000-4500-000005000000}" name="الوزن" dataDxfId="249" totalsRowDxfId="245"/>
    <tableColumn id="6" xr3:uid="{00000000-0010-0000-4500-000006000000}" name="سعر الكيلو" dataDxfId="249" totalsRowDxfId="245"/>
    <tableColumn id="7" xr3:uid="{00000000-0010-0000-4500-000007000000}" name="سعر الشبك " dataDxfId="318" totalsRowDxfId="243">
      <calculatedColumnFormula>Sheet2!B26</calculatedColumnFormula>
    </tableColumn>
    <tableColumn id="8" xr3:uid="{00000000-0010-0000-4500-000008000000}" name="اجمالي" totalsRowFunction="sum" dataDxfId="242" totalsRowDxfId="241">
      <calculatedColumnFormula>M14*U14</calculatedColumnFormula>
    </tableColumn>
    <tableColumn id="9" xr3:uid="{00000000-0010-0000-4500-000009000000}" name="%" totalsRowFunction="custom" totalsRowDxfId="240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249"/>
    <tableColumn id="2" xr3:uid="{00000000-0010-0000-4600-000002000000}" name="عدد" totalsRowFunction="count" dataDxfId="249">
      <calculatedColumnFormula>M20*4</calculatedColumnFormula>
    </tableColumn>
    <tableColumn id="3" xr3:uid="{00000000-0010-0000-4600-000003000000}" name="بيان" totalsRowLabel="Total" dataDxfId="249"/>
    <tableColumn id="11" xr3:uid="{00000000-0010-0000-4600-00000B000000}" name="Column2" dataDxfId="249"/>
    <tableColumn id="10" xr3:uid="{00000000-0010-0000-4600-00000A000000}" name="Column1" dataDxfId="249"/>
    <tableColumn id="12" xr3:uid="{00000000-0010-0000-4600-00000C000000}" name="Column12" totalsRowFunction="sum" dataDxfId="2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249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246"/>
    <tableColumn id="7" xr3:uid="{00000000-0010-0000-4600-000007000000}" name="سعر الشبك " dataDxfId="318">
      <calculatedColumnFormula>S22*$S$2/1000</calculatedColumnFormula>
    </tableColumn>
    <tableColumn id="8" xr3:uid="{00000000-0010-0000-4600-000008000000}" name="اجمالي" totalsRowFunction="sum" dataDxfId="242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267"/>
    <tableColumn id="2" xr3:uid="{00000000-0010-0000-4700-000002000000}" name="المعدل" dataDxfId="267"/>
    <tableColumn id="3" xr3:uid="{00000000-0010-0000-4700-000003000000}" name="الوحدة" dataDxfId="267"/>
    <tableColumn id="4" xr3:uid="{00000000-0010-0000-4700-000004000000}" name="Column4" dataDxfId="311"/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267"/>
    <tableColumn id="2" xr3:uid="{00000000-0010-0000-4800-000002000000}" name="Column2" dataDxfId="311"/>
    <tableColumn id="3" xr3:uid="{00000000-0010-0000-4800-000003000000}" name="Column3" dataDxfId="267"/>
    <tableColumn id="4" xr3:uid="{00000000-0010-0000-4800-000004000000}" name="Column4" dataDxfId="267"/>
    <tableColumn id="5" xr3:uid="{00000000-0010-0000-4800-000005000000}" name="Column5" dataDxfId="267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249" totalsRowDxfId="3"/>
    <tableColumn id="2" xr3:uid="{00000000-0010-0000-4900-000002000000}" name="عدد" dataDxfId="262" totalsRowDxfId="3">
      <calculatedColumnFormula>IF((تسعير!$AU$14="بالتات"),0,M49-2)</calculatedColumnFormula>
    </tableColumn>
    <tableColumn id="3" xr3:uid="{00000000-0010-0000-4900-000003000000}" name="بيان" totalsRowLabel="Total" dataDxfId="301" totalsRowDxfId="3"/>
    <tableColumn id="5" xr3:uid="{00000000-0010-0000-4900-000005000000}" name="اليومية / الاجرة" dataDxfId="301" totalsRowDxfId="3"/>
    <tableColumn id="6" xr3:uid="{00000000-0010-0000-4900-000006000000}" name="بدل الوجبة" dataDxfId="299" totalsRowDxfId="3"/>
    <tableColumn id="11" xr3:uid="{00000000-0010-0000-4900-00000B000000}" name="موقع العمل" dataDxfId="264" totalsRowDxfId="3">
      <calculatedColumnFormula>تسعير!$AT$24</calculatedColumnFormula>
    </tableColumn>
    <tableColumn id="10" xr3:uid="{00000000-0010-0000-4900-00000A000000}" name="شيفت العمل" dataDxfId="249" totalsRowDxfId="3"/>
    <tableColumn id="12" xr3:uid="{00000000-0010-0000-4900-00000C000000}" name="Column12" totalsRowFunction="sum" dataDxfId="251" totalsRowDxfId="2">
      <calculatedColumnFormula>SUMIF(Table176978[Column1],Table16126776[[#This Row],[موقع العمل]],$AE$2:$AE$8)</calculatedColumnFormula>
    </tableColumn>
    <tableColumn id="4" xr3:uid="{00000000-0010-0000-4900-000004000000}" name="عدد الايام" dataDxfId="291" totalsRowDxfId="3"/>
    <tableColumn id="7" xr3:uid="{00000000-0010-0000-4900-000007000000}" name="اجمالي التكلفة للعامل" dataDxfId="289" totalsRowDxfId="288">
      <calculatedColumnFormula>Table16126776[[#This Row],[Column12]]</calculatedColumnFormula>
    </tableColumn>
    <tableColumn id="8" xr3:uid="{00000000-0010-0000-4900-000008000000}" name="اجمالي" totalsRowFunction="sum" dataDxfId="242" totalsRowDxfId="286">
      <calculatedColumnFormula>M52*U52</calculatedColumnFormula>
    </tableColumn>
    <tableColumn id="9" xr3:uid="{00000000-0010-0000-4900-000009000000}" name="%" totalsRowFunction="custom" totalsRowDxfId="285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A0A9BA43-3B7A-4959-ADE5-95A46E8AD381}" name="Table17118" displayName="Table17118" ref="A25:D34" totalsRowCount="1">
  <autoFilter ref="A25:D33" xr:uid="{A0A9BA43-3B7A-4959-ADE5-95A46E8AD381}"/>
  <tableColumns count="4">
    <tableColumn id="1" xr3:uid="{E85D4349-1753-43F4-A09C-8DA677ED62A1}" name="القطاع" totalsRowLabel="Total"/>
    <tableColumn id="2" xr3:uid="{524CB77B-8458-43DA-BC5F-CC78AB991B01}" name="العدد"/>
    <tableColumn id="3" xr3:uid="{A45257A0-1F37-4A17-BE10-9ABC5BF45580}" name="القيمة"/>
    <tableColumn id="4" xr3:uid="{1F615246-D4A5-48DF-A4A4-A2D49E78F3D6}" name="Column4" totalsRowFunction="sum" totalsRowDxfId="0">
      <calculatedColumnFormula>Table17118[[#This Row],[القيمة]]*Table17118[[#This Row],[العدد]]</calculatedColumn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264" totalsRowDxfId="245"/>
    <tableColumn id="2" xr3:uid="{00000000-0010-0000-4A00-000002000000}" name="عدد" dataDxfId="262" totalsRowDxfId="245">
      <calculatedColumnFormula>IF((Q63="الاسكندرية"),0.25,0.1)</calculatedColumnFormula>
    </tableColumn>
    <tableColumn id="3" xr3:uid="{00000000-0010-0000-4A00-000003000000}" name="بيان" totalsRowLabel="Total" dataDxfId="264" totalsRowDxfId="245"/>
    <tableColumn id="11" xr3:uid="{00000000-0010-0000-4A00-00000B000000}" name="Column2" dataDxfId="264" totalsRowDxfId="245"/>
    <tableColumn id="10" xr3:uid="{00000000-0010-0000-4A00-00000A000000}" name="Column1" dataDxfId="264" totalsRowDxfId="245"/>
    <tableColumn id="12" xr3:uid="{00000000-0010-0000-4A00-00000C000000}" name="Column12" totalsRowFunction="sum" dataDxfId="279" totalsRowDxfId="250"/>
    <tableColumn id="4" xr3:uid="{00000000-0010-0000-4A00-000004000000}" name="الوحده" dataDxfId="278" totalsRowDxfId="245"/>
    <tableColumn id="5" xr3:uid="{00000000-0010-0000-4A00-000005000000}" name="الوزن" dataDxfId="264" totalsRowDxfId="245"/>
    <tableColumn id="6" xr3:uid="{00000000-0010-0000-4A00-000006000000}" name="سعر الكيلو" dataDxfId="264" totalsRowDxfId="245"/>
    <tableColumn id="7" xr3:uid="{00000000-0010-0000-4A00-000007000000}" name="سعر الشبك " dataDxfId="275" totalsRowDxfId="243">
      <calculatedColumnFormula>Table80102114[[#Totals],[price]]</calculatedColumnFormula>
    </tableColumn>
    <tableColumn id="8" xr3:uid="{00000000-0010-0000-4A00-000008000000}" name="اجمالي" totalsRowFunction="sum" dataDxfId="242" totalsRowDxfId="241">
      <calculatedColumnFormula>M47*Table16136877[[#This Row],[سعر الشبك ]]</calculatedColumnFormula>
    </tableColumn>
    <tableColumn id="9" xr3:uid="{00000000-0010-0000-4A00-000009000000}" name="%" totalsRowFunction="custom" totalsRowDxfId="240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267"/>
    <tableColumn id="2" xr3:uid="{00000000-0010-0000-4B00-000002000000}" name="خارجي" dataDxfId="267"/>
    <tableColumn id="3" xr3:uid="{00000000-0010-0000-4B00-000003000000}" name="داخلي" dataDxfId="267"/>
    <tableColumn id="4" xr3:uid="{00000000-0010-0000-4B00-000004000000}" name="بدل الوجبة" dataDxfId="267"/>
    <tableColumn id="5" xr3:uid="{00000000-0010-0000-4B00-000005000000}" name="دبابة" dataDxfId="267"/>
    <tableColumn id="6" xr3:uid="{00000000-0010-0000-4B00-000006000000}" name="جامبو" dataDxfId="267"/>
    <tableColumn id="7" xr3:uid="{00000000-0010-0000-4B00-000007000000}" name="الاقامة" dataDxfId="267"/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264"/>
    <tableColumn id="4" xr3:uid="{00000000-0010-0000-4C00-000004000000}" name="Column22" dataDxfId="264"/>
    <tableColumn id="5" xr3:uid="{00000000-0010-0000-4C00-000005000000}" name="Column23" dataDxfId="264"/>
    <tableColumn id="3" xr3:uid="{00000000-0010-0000-4C00-000003000000}" name="Column3" dataDxfId="263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262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249" totalsRowDxfId="245"/>
    <tableColumn id="2" xr3:uid="{00000000-0010-0000-4D00-000002000000}" name="عدد" dataDxfId="249" totalsRowDxfId="245"/>
    <tableColumn id="3" xr3:uid="{00000000-0010-0000-4D00-000003000000}" name="بيان" totalsRowLabel="Total" dataDxfId="249" totalsRowDxfId="245"/>
    <tableColumn id="11" xr3:uid="{00000000-0010-0000-4D00-00000B000000}" name="Column2" dataDxfId="249" totalsRowDxfId="245"/>
    <tableColumn id="10" xr3:uid="{00000000-0010-0000-4D00-00000A000000}" name="Column1" dataDxfId="249" totalsRowDxfId="245"/>
    <tableColumn id="12" xr3:uid="{00000000-0010-0000-4D00-00000C000000}" name="المسطح" totalsRowFunction="sum" dataDxfId="251" totalsRowDxfId="250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249" totalsRowDxfId="245"/>
    <tableColumn id="5" xr3:uid="{00000000-0010-0000-4D00-000005000000}" name="الوزن" totalsRowFunction="custom" totalsRowDxfId="245">
      <totalsRowFormula>(S6*M6)+(S7*M7)+(M8*S8)+(S9*M9)</totalsRowFormula>
    </tableColumn>
    <tableColumn id="6" xr3:uid="{00000000-0010-0000-4D00-000006000000}" name="اجمالي المسطح" totalsRowFunction="sum" dataDxfId="246" totalsRowDxfId="245">
      <calculatedColumnFormula>Table15880[[#This Row],[المسطح]]*Table15880[[#This Row],[عدد]]</calculatedColumnFormula>
    </tableColumn>
    <tableColumn id="7" xr3:uid="{00000000-0010-0000-4D00-000007000000}" name="سعر الشبك " dataDxfId="244" totalsRowDxfId="243">
      <calculatedColumnFormula>S6*$S$2/1000</calculatedColumnFormula>
    </tableColumn>
    <tableColumn id="8" xr3:uid="{00000000-0010-0000-4D00-000008000000}" name="اجمالي" totalsRowFunction="sum" dataDxfId="242" totalsRowDxfId="241">
      <calculatedColumnFormula>M6*U6</calculatedColumnFormula>
    </tableColumn>
    <tableColumn id="9" xr3:uid="{00000000-0010-0000-4D00-000009000000}" name="%" totalsRowFunction="custom" totalsRowDxfId="240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249" totalsRowDxfId="3"/>
    <tableColumn id="2" xr3:uid="{00000000-0010-0000-4E00-000002000000}" name="عدد" dataDxfId="246" totalsRowDxfId="3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249" totalsRowDxfId="3"/>
    <tableColumn id="11" xr3:uid="{00000000-0010-0000-4E00-00000B000000}" name="Column2" dataDxfId="249" totalsRowDxfId="3"/>
    <tableColumn id="10" xr3:uid="{00000000-0010-0000-4E00-00000A000000}" name="Column1" dataDxfId="249" totalsRowDxfId="3"/>
    <tableColumn id="12" xr3:uid="{00000000-0010-0000-4E00-00000C000000}" name="Column12" dataDxfId="249" totalsRowDxfId="3"/>
    <tableColumn id="4" xr3:uid="{00000000-0010-0000-4E00-000004000000}" name="الوحده" totalsRowLabel="total" dataDxfId="249" totalsRowDxfId="3"/>
    <tableColumn id="5" xr3:uid="{00000000-0010-0000-4E00-000005000000}" name="الوزن" dataDxfId="249" totalsRowDxfId="3"/>
    <tableColumn id="6" xr3:uid="{00000000-0010-0000-4E00-000006000000}" name="سعر الكيلو" dataDxfId="249" totalsRowDxfId="3"/>
    <tableColumn id="7" xr3:uid="{00000000-0010-0000-4E00-000007000000}" name="سعر الشبك " dataDxfId="318" totalsRowDxfId="288">
      <calculatedColumnFormula>Sheet2!B6</calculatedColumnFormula>
    </tableColumn>
    <tableColumn id="8" xr3:uid="{00000000-0010-0000-4E00-000008000000}" name="اجمالي" totalsRowFunction="sum" dataDxfId="242" totalsRowDxfId="286">
      <calculatedColumnFormula>M99*U100</calculatedColumnFormula>
    </tableColumn>
    <tableColumn id="9" xr3:uid="{00000000-0010-0000-4E00-000009000000}" name="%" totalsRowFunction="custom" totalsRowDxfId="285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249" totalsRowDxfId="245"/>
    <tableColumn id="2" xr3:uid="{00000000-0010-0000-4F00-000002000000}" name="عدد" dataDxfId="246" totalsRowDxfId="245">
      <calculatedColumnFormula>IF((I70="بالتات"),0,4)</calculatedColumnFormula>
    </tableColumn>
    <tableColumn id="3" xr3:uid="{00000000-0010-0000-4F00-000003000000}" name="بيان" totalsRowLabel="Total" dataDxfId="249" totalsRowDxfId="245"/>
    <tableColumn id="11" xr3:uid="{00000000-0010-0000-4F00-00000B000000}" name="Column2" dataDxfId="249" totalsRowDxfId="245"/>
    <tableColumn id="10" xr3:uid="{00000000-0010-0000-4F00-00000A000000}" name="Column1" dataDxfId="249" totalsRowDxfId="245"/>
    <tableColumn id="12" xr3:uid="{00000000-0010-0000-4F00-00000C000000}" name="Column12" dataDxfId="251" totalsRowDxfId="250"/>
    <tableColumn id="4" xr3:uid="{00000000-0010-0000-4F00-000004000000}" name="الوحده" dataDxfId="249" totalsRowDxfId="245"/>
    <tableColumn id="5" xr3:uid="{00000000-0010-0000-4F00-000005000000}" name="الوزن" dataDxfId="249" totalsRowDxfId="245"/>
    <tableColumn id="6" xr3:uid="{00000000-0010-0000-4F00-000006000000}" name="سعر الكيلو" dataDxfId="249" totalsRowDxfId="245"/>
    <tableColumn id="7" xr3:uid="{00000000-0010-0000-4F00-000007000000}" name="سعر الشبك " dataDxfId="318" totalsRowDxfId="243">
      <calculatedColumnFormula>Sheet2!B26</calculatedColumnFormula>
    </tableColumn>
    <tableColumn id="8" xr3:uid="{00000000-0010-0000-4F00-000008000000}" name="اجمالي" totalsRowFunction="sum" dataDxfId="242" totalsRowDxfId="241">
      <calculatedColumnFormula>M85*U85</calculatedColumnFormula>
    </tableColumn>
    <tableColumn id="9" xr3:uid="{00000000-0010-0000-4F00-000009000000}" name="%" totalsRowFunction="custom" totalsRowDxfId="240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249"/>
    <tableColumn id="2" xr3:uid="{00000000-0010-0000-5000-000002000000}" name="عدد" totalsRowFunction="sum" dataDxfId="249">
      <calculatedColumnFormula>M91*4</calculatedColumnFormula>
    </tableColumn>
    <tableColumn id="3" xr3:uid="{00000000-0010-0000-5000-000003000000}" name="بيان" totalsRowLabel="Total" dataDxfId="249"/>
    <tableColumn id="11" xr3:uid="{00000000-0010-0000-5000-00000B000000}" name="Column2" dataDxfId="249"/>
    <tableColumn id="10" xr3:uid="{00000000-0010-0000-5000-00000A000000}" name="Column1" dataDxfId="249"/>
    <tableColumn id="12" xr3:uid="{00000000-0010-0000-5000-00000C000000}" name="Column12" totalsRowFunction="sum" dataDxfId="2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249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246"/>
    <tableColumn id="7" xr3:uid="{00000000-0010-0000-5000-000007000000}" name="سعر الشبك " dataDxfId="318">
      <calculatedColumnFormula>S93*$S$2/1000</calculatedColumnFormula>
    </tableColumn>
    <tableColumn id="8" xr3:uid="{00000000-0010-0000-5000-000008000000}" name="اجمالي" totalsRowFunction="sum" dataDxfId="242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267"/>
    <tableColumn id="2" xr3:uid="{00000000-0010-0000-5100-000002000000}" name="المعدل" dataDxfId="267"/>
    <tableColumn id="3" xr3:uid="{00000000-0010-0000-5100-000003000000}" name="الوحدة" dataDxfId="267"/>
    <tableColumn id="4" xr3:uid="{00000000-0010-0000-5100-000004000000}" name="Column4" dataDxfId="311"/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267"/>
    <tableColumn id="2" xr3:uid="{00000000-0010-0000-5200-000002000000}" name="Column2" dataDxfId="311"/>
    <tableColumn id="3" xr3:uid="{00000000-0010-0000-5200-000003000000}" name="Column3" dataDxfId="267"/>
    <tableColumn id="4" xr3:uid="{00000000-0010-0000-5200-000004000000}" name="Column4" dataDxfId="267"/>
    <tableColumn id="5" xr3:uid="{00000000-0010-0000-5200-000005000000}" name="Column5" dataDxfId="267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249" totalsRowDxfId="3"/>
    <tableColumn id="2" xr3:uid="{00000000-0010-0000-5300-000002000000}" name="عدد" dataDxfId="262" totalsRowDxfId="3">
      <calculatedColumnFormula>IF((تسعير!$AU$14="بالتات"),0,M120-2)</calculatedColumnFormula>
    </tableColumn>
    <tableColumn id="3" xr3:uid="{00000000-0010-0000-5300-000003000000}" name="بيان" totalsRowLabel="Total" dataDxfId="301" totalsRowDxfId="3"/>
    <tableColumn id="5" xr3:uid="{00000000-0010-0000-5300-000005000000}" name="اليومية / الاجرة" dataDxfId="301" totalsRowDxfId="3"/>
    <tableColumn id="6" xr3:uid="{00000000-0010-0000-5300-000006000000}" name="بدل الوجبة" dataDxfId="299" totalsRowDxfId="3"/>
    <tableColumn id="11" xr3:uid="{00000000-0010-0000-5300-00000B000000}" name="موقع العمل" dataDxfId="264" totalsRowDxfId="3">
      <calculatedColumnFormula>تسعير!$AT$44</calculatedColumnFormula>
    </tableColumn>
    <tableColumn id="10" xr3:uid="{00000000-0010-0000-5300-00000A000000}" name="شيفت العمل" dataDxfId="249" totalsRowDxfId="3"/>
    <tableColumn id="12" xr3:uid="{00000000-0010-0000-5300-00000C000000}" name="Column12" totalsRowFunction="sum" dataDxfId="251" totalsRowDxfId="2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291" totalsRowDxfId="3"/>
    <tableColumn id="7" xr3:uid="{00000000-0010-0000-5300-000007000000}" name="اجمالي التكلفة للعامل" dataDxfId="289" totalsRowDxfId="288">
      <calculatedColumnFormula>Table1612677697[[#This Row],[Column12]]</calculatedColumnFormula>
    </tableColumn>
    <tableColumn id="8" xr3:uid="{00000000-0010-0000-5300-000008000000}" name="اجمالي" totalsRowFunction="sum" dataDxfId="242" totalsRowDxfId="286">
      <calculatedColumnFormula>M123*U123</calculatedColumnFormula>
    </tableColumn>
    <tableColumn id="9" xr3:uid="{00000000-0010-0000-5300-000009000000}" name="%" totalsRowFunction="custom" totalsRowDxfId="285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562E192F-DDCB-4E63-AFA2-EA96B92F2C7F}" name="Table1718" displayName="Table1718" ref="P26:S39" totalsRowCount="1">
  <autoFilter ref="P26:S38" xr:uid="{562E192F-DDCB-4E63-AFA2-EA96B92F2C7F}"/>
  <tableColumns count="4">
    <tableColumn id="1" xr3:uid="{11C8B018-BEFB-4EF7-949C-302B49829FE5}" name="القطاع" totalsRowLabel="Total"/>
    <tableColumn id="2" xr3:uid="{F5AB91CC-C456-4ADA-BBD3-4E0D2311CEFA}" name="العدد"/>
    <tableColumn id="3" xr3:uid="{9351A7EB-60A7-40A0-8BE2-D640CA985201}" name="القيمة"/>
    <tableColumn id="4" xr3:uid="{4D2A77AE-94D2-4EF7-8241-E75068CE5B8D}" name="Column4" totalsRowFunction="sum" totalsRowDxfId="0"/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264" totalsRowDxfId="245"/>
    <tableColumn id="2" xr3:uid="{00000000-0010-0000-5400-000002000000}" name="عدد" dataDxfId="262" totalsRowDxfId="245">
      <calculatedColumnFormula>IF((Q134="الاسكندرية"),0.25,0.1)</calculatedColumnFormula>
    </tableColumn>
    <tableColumn id="3" xr3:uid="{00000000-0010-0000-5400-000003000000}" name="بيان" totalsRowLabel="Total" dataDxfId="264" totalsRowDxfId="245"/>
    <tableColumn id="11" xr3:uid="{00000000-0010-0000-5400-00000B000000}" name="Column2" dataDxfId="264" totalsRowDxfId="245"/>
    <tableColumn id="10" xr3:uid="{00000000-0010-0000-5400-00000A000000}" name="Column1" dataDxfId="264" totalsRowDxfId="245"/>
    <tableColumn id="12" xr3:uid="{00000000-0010-0000-5400-00000C000000}" name="Column12" totalsRowFunction="sum" dataDxfId="279" totalsRowDxfId="250"/>
    <tableColumn id="4" xr3:uid="{00000000-0010-0000-5400-000004000000}" name="الوحده" dataDxfId="278" totalsRowDxfId="245"/>
    <tableColumn id="5" xr3:uid="{00000000-0010-0000-5400-000005000000}" name="الوزن" dataDxfId="264" totalsRowDxfId="245"/>
    <tableColumn id="6" xr3:uid="{00000000-0010-0000-5400-000006000000}" name="سعر الكيلو" dataDxfId="264" totalsRowDxfId="245"/>
    <tableColumn id="7" xr3:uid="{00000000-0010-0000-5400-000007000000}" name="سعر الشبك " dataDxfId="275" totalsRowDxfId="243">
      <calculatedColumnFormula>F96</calculatedColumnFormula>
    </tableColumn>
    <tableColumn id="8" xr3:uid="{00000000-0010-0000-5400-000008000000}" name="اجمالي" totalsRowFunction="sum" dataDxfId="242" totalsRowDxfId="241">
      <calculatedColumnFormula>M118*Table1613687798[[#This Row],[سعر الشبك ]]</calculatedColumnFormula>
    </tableColumn>
    <tableColumn id="9" xr3:uid="{00000000-0010-0000-5400-000009000000}" name="%" totalsRowFunction="custom" totalsRowDxfId="240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267"/>
    <tableColumn id="2" xr3:uid="{00000000-0010-0000-5500-000002000000}" name="خارجي" dataDxfId="267"/>
    <tableColumn id="3" xr3:uid="{00000000-0010-0000-5500-000003000000}" name="داخلي" dataDxfId="267"/>
    <tableColumn id="4" xr3:uid="{00000000-0010-0000-5500-000004000000}" name="بدل الوجبة" dataDxfId="267"/>
    <tableColumn id="5" xr3:uid="{00000000-0010-0000-5500-000005000000}" name="دبابة" dataDxfId="267"/>
    <tableColumn id="6" xr3:uid="{00000000-0010-0000-5500-000006000000}" name="جامبو" dataDxfId="267"/>
    <tableColumn id="7" xr3:uid="{00000000-0010-0000-5500-000007000000}" name="الاقامة" dataDxfId="267"/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264"/>
    <tableColumn id="4" xr3:uid="{00000000-0010-0000-5600-000004000000}" name="Column22" dataDxfId="264"/>
    <tableColumn id="5" xr3:uid="{00000000-0010-0000-5600-000005000000}" name="Column23" dataDxfId="264"/>
    <tableColumn id="3" xr3:uid="{00000000-0010-0000-5600-000003000000}" name="Column3" dataDxfId="263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262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249" totalsRowDxfId="245"/>
    <tableColumn id="2" xr3:uid="{00000000-0010-0000-5700-000002000000}" name="عدد" dataDxfId="249" totalsRowDxfId="24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249" totalsRowDxfId="245"/>
    <tableColumn id="11" xr3:uid="{00000000-0010-0000-5700-00000B000000}" name="Column2" dataDxfId="249" totalsRowDxfId="245"/>
    <tableColumn id="10" xr3:uid="{00000000-0010-0000-5700-00000A000000}" name="Column1" dataDxfId="249" totalsRowDxfId="245"/>
    <tableColumn id="12" xr3:uid="{00000000-0010-0000-5700-00000C000000}" name="المسطح" totalsRowFunction="sum" dataDxfId="251" totalsRowDxfId="250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249" totalsRowDxfId="245"/>
    <tableColumn id="5" xr3:uid="{00000000-0010-0000-5700-000005000000}" name="الوزن" totalsRowFunction="custom" totalsRowDxfId="245">
      <totalsRowFormula>(S77*M77)+(S78*M78)+(M79*S79)+(S80*M80)</totalsRowFormula>
    </tableColumn>
    <tableColumn id="6" xr3:uid="{00000000-0010-0000-5700-000006000000}" name="اجمالي المسطح" totalsRowFunction="sum" dataDxfId="246" totalsRowDxfId="245">
      <calculatedColumnFormula>Table15880101[[#This Row],[المسطح]]*Table15880101[[#This Row],[عدد]]</calculatedColumnFormula>
    </tableColumn>
    <tableColumn id="7" xr3:uid="{00000000-0010-0000-5700-000007000000}" name="سعر الشبك " dataDxfId="244" totalsRowDxfId="243">
      <calculatedColumnFormula>S77*$S$2/1000</calculatedColumnFormula>
    </tableColumn>
    <tableColumn id="8" xr3:uid="{00000000-0010-0000-5700-000008000000}" name="اجمالي" totalsRowFunction="sum" dataDxfId="242" totalsRowDxfId="241">
      <calculatedColumnFormula>M77*U77</calculatedColumnFormula>
    </tableColumn>
    <tableColumn id="9" xr3:uid="{00000000-0010-0000-5700-000009000000}" name="%" totalsRowFunction="custom" totalsRowDxfId="240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249" totalsRowDxfId="3"/>
    <tableColumn id="2" xr3:uid="{00000000-0010-0000-5800-000002000000}" name="عدد" dataDxfId="246" totalsRowDxfId="3"/>
    <tableColumn id="3" xr3:uid="{00000000-0010-0000-5800-000003000000}" name="بيان" totalsRowLabel="Total" dataDxfId="249" totalsRowDxfId="3"/>
    <tableColumn id="11" xr3:uid="{00000000-0010-0000-5800-00000B000000}" name="Column2" dataDxfId="249" totalsRowDxfId="3"/>
    <tableColumn id="10" xr3:uid="{00000000-0010-0000-5800-00000A000000}" name="Column1" dataDxfId="249" totalsRowDxfId="3"/>
    <tableColumn id="12" xr3:uid="{00000000-0010-0000-5800-00000C000000}" name="Column12" dataDxfId="249" totalsRowDxfId="3"/>
    <tableColumn id="4" xr3:uid="{00000000-0010-0000-5800-000004000000}" name="الوحده" totalsRowLabel="total" dataDxfId="249" totalsRowDxfId="3"/>
    <tableColumn id="5" xr3:uid="{00000000-0010-0000-5800-000005000000}" name="الوزن" dataDxfId="249" totalsRowDxfId="3"/>
    <tableColumn id="6" xr3:uid="{00000000-0010-0000-5800-000006000000}" name="سعر الكيلو" dataDxfId="249" totalsRowDxfId="3"/>
    <tableColumn id="7" xr3:uid="{00000000-0010-0000-5800-000007000000}" name="سعر الشبك " dataDxfId="318" totalsRowDxfId="288">
      <calculatedColumnFormula>Sheet2!AW6</calculatedColumnFormula>
    </tableColumn>
    <tableColumn id="8" xr3:uid="{00000000-0010-0000-5800-000008000000}" name="اجمالي" totalsRowFunction="sum" dataDxfId="242" totalsRowDxfId="286">
      <calculatedColumnFormula>BH28*BP28</calculatedColumnFormula>
    </tableColumn>
    <tableColumn id="9" xr3:uid="{00000000-0010-0000-5800-000009000000}" name="%" totalsRowFunction="custom" totalsRowDxfId="285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249" totalsRowDxfId="245"/>
    <tableColumn id="2" xr3:uid="{00000000-0010-0000-5900-000002000000}" name="عدد" dataDxfId="246" totalsRowDxfId="245"/>
    <tableColumn id="3" xr3:uid="{00000000-0010-0000-5900-000003000000}" name="بيان" totalsRowLabel="Total" dataDxfId="249" totalsRowDxfId="245"/>
    <tableColumn id="11" xr3:uid="{00000000-0010-0000-5900-00000B000000}" name="Column2" dataDxfId="249" totalsRowDxfId="245"/>
    <tableColumn id="10" xr3:uid="{00000000-0010-0000-5900-00000A000000}" name="Column1" dataDxfId="249" totalsRowDxfId="245"/>
    <tableColumn id="12" xr3:uid="{00000000-0010-0000-5900-00000C000000}" name="Column12" dataDxfId="251" totalsRowDxfId="250"/>
    <tableColumn id="4" xr3:uid="{00000000-0010-0000-5900-000004000000}" name="الوحده" dataDxfId="249" totalsRowDxfId="245"/>
    <tableColumn id="5" xr3:uid="{00000000-0010-0000-5900-000005000000}" name="الوزن" dataDxfId="249" totalsRowDxfId="245"/>
    <tableColumn id="6" xr3:uid="{00000000-0010-0000-5900-000006000000}" name="سعر الكيلو" dataDxfId="249" totalsRowDxfId="245"/>
    <tableColumn id="7" xr3:uid="{00000000-0010-0000-5900-000007000000}" name="سعر الشبك " dataDxfId="318" totalsRowDxfId="243">
      <calculatedColumnFormula>Sheet2!AW26</calculatedColumnFormula>
    </tableColumn>
    <tableColumn id="8" xr3:uid="{00000000-0010-0000-5900-000008000000}" name="اجمالي" totalsRowFunction="sum" dataDxfId="242" totalsRowDxfId="241">
      <calculatedColumnFormula>BH14*BP14</calculatedColumnFormula>
    </tableColumn>
    <tableColumn id="9" xr3:uid="{00000000-0010-0000-5900-000009000000}" name="%" totalsRowFunction="custom" totalsRowDxfId="240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249"/>
    <tableColumn id="2" xr3:uid="{00000000-0010-0000-5A00-000002000000}" name="عدد" totalsRowFunction="count" dataDxfId="249">
      <calculatedColumnFormula>BH20*4</calculatedColumnFormula>
    </tableColumn>
    <tableColumn id="3" xr3:uid="{00000000-0010-0000-5A00-000003000000}" name="بيان" totalsRowLabel="Total" dataDxfId="249"/>
    <tableColumn id="11" xr3:uid="{00000000-0010-0000-5A00-00000B000000}" name="Column2" dataDxfId="249"/>
    <tableColumn id="10" xr3:uid="{00000000-0010-0000-5A00-00000A000000}" name="Column1" dataDxfId="249"/>
    <tableColumn id="12" xr3:uid="{00000000-0010-0000-5A00-00000C000000}" name="Column12" totalsRowFunction="sum" dataDxfId="2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249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246"/>
    <tableColumn id="7" xr3:uid="{00000000-0010-0000-5A00-000007000000}" name="سعر الشبك " dataDxfId="318">
      <calculatedColumnFormula>BN22*$S$2/1000</calculatedColumnFormula>
    </tableColumn>
    <tableColumn id="8" xr3:uid="{00000000-0010-0000-5A00-000008000000}" name="اجمالي" totalsRowFunction="sum" dataDxfId="242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267"/>
    <tableColumn id="2" xr3:uid="{00000000-0010-0000-5B00-000002000000}" name="المعدل" dataDxfId="267"/>
    <tableColumn id="3" xr3:uid="{00000000-0010-0000-5B00-000003000000}" name="الوحدة" dataDxfId="267"/>
    <tableColumn id="4" xr3:uid="{00000000-0010-0000-5B00-000004000000}" name="Column4" dataDxfId="311"/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267"/>
    <tableColumn id="2" xr3:uid="{00000000-0010-0000-5C00-000002000000}" name="Column2" dataDxfId="311"/>
    <tableColumn id="3" xr3:uid="{00000000-0010-0000-5C00-000003000000}" name="Column3" dataDxfId="267"/>
    <tableColumn id="4" xr3:uid="{00000000-0010-0000-5C00-000004000000}" name="Column4" dataDxfId="267"/>
    <tableColumn id="5" xr3:uid="{00000000-0010-0000-5C00-000005000000}" name="Column5" dataDxfId="267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249" totalsRowDxfId="3"/>
    <tableColumn id="2" xr3:uid="{00000000-0010-0000-5D00-000002000000}" name="عدد" dataDxfId="262" totalsRowDxfId="3">
      <calculatedColumnFormula>IF((تسعير!$AU$14="بالتات"),0,BH48-2)</calculatedColumnFormula>
    </tableColumn>
    <tableColumn id="3" xr3:uid="{00000000-0010-0000-5D00-000003000000}" name="بيان" totalsRowLabel="Total" dataDxfId="301" totalsRowDxfId="3"/>
    <tableColumn id="5" xr3:uid="{00000000-0010-0000-5D00-000005000000}" name="اليومية / الاجرة" dataDxfId="301" totalsRowDxfId="3"/>
    <tableColumn id="6" xr3:uid="{00000000-0010-0000-5D00-000006000000}" name="بدل الوجبة" dataDxfId="299" totalsRowDxfId="3"/>
    <tableColumn id="11" xr3:uid="{00000000-0010-0000-5D00-00000B000000}" name="موقع العمل" dataDxfId="264" totalsRowDxfId="3">
      <calculatedColumnFormula>تسعير!$AT$44</calculatedColumnFormula>
    </tableColumn>
    <tableColumn id="10" xr3:uid="{00000000-0010-0000-5D00-00000A000000}" name="شيفت العمل" dataDxfId="249" totalsRowDxfId="3"/>
    <tableColumn id="12" xr3:uid="{00000000-0010-0000-5D00-00000C000000}" name="Column12" totalsRowFunction="sum" dataDxfId="251" totalsRowDxfId="2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291" totalsRowDxfId="3"/>
    <tableColumn id="7" xr3:uid="{00000000-0010-0000-5D00-000007000000}" name="اجمالي التكلفة للعامل" dataDxfId="289" totalsRowDxfId="288">
      <calculatedColumnFormula>Table1612677686[[#This Row],[Column12]]</calculatedColumnFormula>
    </tableColumn>
    <tableColumn id="8" xr3:uid="{00000000-0010-0000-5D00-000008000000}" name="اجمالي" totalsRowFunction="sum" dataDxfId="242" totalsRowDxfId="286">
      <calculatedColumnFormula>BH51*BP51</calculatedColumnFormula>
    </tableColumn>
    <tableColumn id="9" xr3:uid="{00000000-0010-0000-5D00-000009000000}" name="%" totalsRowFunction="custom" totalsRowDxfId="285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26" Type="http://schemas.openxmlformats.org/officeDocument/2006/relationships/ctrlProp" Target="../ctrlProps/ctrlProp39.xml"/><Relationship Id="rId39" Type="http://schemas.openxmlformats.org/officeDocument/2006/relationships/table" Target="../tables/table121.xml"/><Relationship Id="rId21" Type="http://schemas.openxmlformats.org/officeDocument/2006/relationships/ctrlProp" Target="../ctrlProps/ctrlProp34.xml"/><Relationship Id="rId34" Type="http://schemas.openxmlformats.org/officeDocument/2006/relationships/ctrlProp" Target="../ctrlProps/ctrlProp47.xml"/><Relationship Id="rId42" Type="http://schemas.openxmlformats.org/officeDocument/2006/relationships/table" Target="../tables/table124.xml"/><Relationship Id="rId47" Type="http://schemas.openxmlformats.org/officeDocument/2006/relationships/table" Target="../tables/table129.x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29.xml"/><Relationship Id="rId29" Type="http://schemas.openxmlformats.org/officeDocument/2006/relationships/ctrlProp" Target="../ctrlProps/ctrlProp42.xml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24" Type="http://schemas.openxmlformats.org/officeDocument/2006/relationships/ctrlProp" Target="../ctrlProps/ctrlProp37.xml"/><Relationship Id="rId32" Type="http://schemas.openxmlformats.org/officeDocument/2006/relationships/ctrlProp" Target="../ctrlProps/ctrlProp45.xml"/><Relationship Id="rId37" Type="http://schemas.openxmlformats.org/officeDocument/2006/relationships/table" Target="../tables/table119.xml"/><Relationship Id="rId40" Type="http://schemas.openxmlformats.org/officeDocument/2006/relationships/table" Target="../tables/table122.xml"/><Relationship Id="rId45" Type="http://schemas.openxmlformats.org/officeDocument/2006/relationships/table" Target="../tables/table127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23" Type="http://schemas.openxmlformats.org/officeDocument/2006/relationships/ctrlProp" Target="../ctrlProps/ctrlProp36.xml"/><Relationship Id="rId28" Type="http://schemas.openxmlformats.org/officeDocument/2006/relationships/ctrlProp" Target="../ctrlProps/ctrlProp41.xml"/><Relationship Id="rId36" Type="http://schemas.openxmlformats.org/officeDocument/2006/relationships/table" Target="../tables/table118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31" Type="http://schemas.openxmlformats.org/officeDocument/2006/relationships/ctrlProp" Target="../ctrlProps/ctrlProp44.xml"/><Relationship Id="rId44" Type="http://schemas.openxmlformats.org/officeDocument/2006/relationships/table" Target="../tables/table126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Relationship Id="rId22" Type="http://schemas.openxmlformats.org/officeDocument/2006/relationships/ctrlProp" Target="../ctrlProps/ctrlProp35.xml"/><Relationship Id="rId27" Type="http://schemas.openxmlformats.org/officeDocument/2006/relationships/ctrlProp" Target="../ctrlProps/ctrlProp40.xml"/><Relationship Id="rId30" Type="http://schemas.openxmlformats.org/officeDocument/2006/relationships/ctrlProp" Target="../ctrlProps/ctrlProp43.xml"/><Relationship Id="rId35" Type="http://schemas.openxmlformats.org/officeDocument/2006/relationships/ctrlProp" Target="../ctrlProps/ctrlProp48.xml"/><Relationship Id="rId43" Type="http://schemas.openxmlformats.org/officeDocument/2006/relationships/table" Target="../tables/table125.xml"/><Relationship Id="rId48" Type="http://schemas.openxmlformats.org/officeDocument/2006/relationships/table" Target="../tables/table130.xml"/><Relationship Id="rId8" Type="http://schemas.openxmlformats.org/officeDocument/2006/relationships/ctrlProp" Target="../ctrlProps/ctrlProp21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5" Type="http://schemas.openxmlformats.org/officeDocument/2006/relationships/ctrlProp" Target="../ctrlProps/ctrlProp38.xml"/><Relationship Id="rId33" Type="http://schemas.openxmlformats.org/officeDocument/2006/relationships/ctrlProp" Target="../ctrlProps/ctrlProp46.xml"/><Relationship Id="rId38" Type="http://schemas.openxmlformats.org/officeDocument/2006/relationships/table" Target="../tables/table120.xml"/><Relationship Id="rId46" Type="http://schemas.openxmlformats.org/officeDocument/2006/relationships/table" Target="../tables/table128.xml"/><Relationship Id="rId20" Type="http://schemas.openxmlformats.org/officeDocument/2006/relationships/ctrlProp" Target="../ctrlProps/ctrlProp33.xml"/><Relationship Id="rId41" Type="http://schemas.openxmlformats.org/officeDocument/2006/relationships/table" Target="../tables/table123.xml"/></Relationships>
</file>

<file path=xl/worksheets/_rels/sheet13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3" Type="http://schemas.openxmlformats.org/officeDocument/2006/relationships/ctrlProp" Target="../ctrlProps/ctrlProp49.x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62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10" Type="http://schemas.openxmlformats.org/officeDocument/2006/relationships/ctrlProp" Target="../ctrlProps/ctrlProp56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4" Type="http://schemas.openxmlformats.org/officeDocument/2006/relationships/table" Target="../tables/table9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table" Target="../tables/table20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6.xml"/><Relationship Id="rId13" Type="http://schemas.openxmlformats.org/officeDocument/2006/relationships/table" Target="../tables/table31.xml"/><Relationship Id="rId3" Type="http://schemas.openxmlformats.org/officeDocument/2006/relationships/table" Target="../tables/table21.xml"/><Relationship Id="rId7" Type="http://schemas.openxmlformats.org/officeDocument/2006/relationships/table" Target="../tables/table25.xml"/><Relationship Id="rId12" Type="http://schemas.openxmlformats.org/officeDocument/2006/relationships/table" Target="../tables/table30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4.xml"/><Relationship Id="rId11" Type="http://schemas.openxmlformats.org/officeDocument/2006/relationships/table" Target="../tables/table29.xml"/><Relationship Id="rId5" Type="http://schemas.openxmlformats.org/officeDocument/2006/relationships/table" Target="../tables/table23.xml"/><Relationship Id="rId15" Type="http://schemas.openxmlformats.org/officeDocument/2006/relationships/comments" Target="../comments2.xml"/><Relationship Id="rId10" Type="http://schemas.openxmlformats.org/officeDocument/2006/relationships/table" Target="../tables/table28.xml"/><Relationship Id="rId4" Type="http://schemas.openxmlformats.org/officeDocument/2006/relationships/table" Target="../tables/table22.xml"/><Relationship Id="rId9" Type="http://schemas.openxmlformats.org/officeDocument/2006/relationships/table" Target="../tables/table27.xml"/><Relationship Id="rId14" Type="http://schemas.openxmlformats.org/officeDocument/2006/relationships/table" Target="../tables/table32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0.xml"/><Relationship Id="rId3" Type="http://schemas.openxmlformats.org/officeDocument/2006/relationships/table" Target="../tables/table35.xml"/><Relationship Id="rId7" Type="http://schemas.openxmlformats.org/officeDocument/2006/relationships/table" Target="../tables/table39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Relationship Id="rId6" Type="http://schemas.openxmlformats.org/officeDocument/2006/relationships/table" Target="../tables/table38.xml"/><Relationship Id="rId11" Type="http://schemas.openxmlformats.org/officeDocument/2006/relationships/table" Target="../tables/table43.xml"/><Relationship Id="rId5" Type="http://schemas.openxmlformats.org/officeDocument/2006/relationships/table" Target="../tables/table37.xml"/><Relationship Id="rId10" Type="http://schemas.openxmlformats.org/officeDocument/2006/relationships/table" Target="../tables/table42.xml"/><Relationship Id="rId4" Type="http://schemas.openxmlformats.org/officeDocument/2006/relationships/table" Target="../tables/table36.xml"/><Relationship Id="rId9" Type="http://schemas.openxmlformats.org/officeDocument/2006/relationships/table" Target="../tables/table41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1.xml"/><Relationship Id="rId3" Type="http://schemas.openxmlformats.org/officeDocument/2006/relationships/table" Target="../tables/table46.xml"/><Relationship Id="rId7" Type="http://schemas.openxmlformats.org/officeDocument/2006/relationships/table" Target="../tables/table50.xml"/><Relationship Id="rId2" Type="http://schemas.openxmlformats.org/officeDocument/2006/relationships/table" Target="../tables/table45.xml"/><Relationship Id="rId1" Type="http://schemas.openxmlformats.org/officeDocument/2006/relationships/table" Target="../tables/table44.xml"/><Relationship Id="rId6" Type="http://schemas.openxmlformats.org/officeDocument/2006/relationships/table" Target="../tables/table49.xml"/><Relationship Id="rId5" Type="http://schemas.openxmlformats.org/officeDocument/2006/relationships/table" Target="../tables/table48.xml"/><Relationship Id="rId10" Type="http://schemas.openxmlformats.org/officeDocument/2006/relationships/table" Target="../tables/table53.xml"/><Relationship Id="rId4" Type="http://schemas.openxmlformats.org/officeDocument/2006/relationships/table" Target="../tables/table47.xml"/><Relationship Id="rId9" Type="http://schemas.openxmlformats.org/officeDocument/2006/relationships/table" Target="../tables/table5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61.xml"/><Relationship Id="rId13" Type="http://schemas.openxmlformats.org/officeDocument/2006/relationships/table" Target="../tables/table66.xml"/><Relationship Id="rId18" Type="http://schemas.openxmlformats.org/officeDocument/2006/relationships/table" Target="../tables/table71.xml"/><Relationship Id="rId3" Type="http://schemas.openxmlformats.org/officeDocument/2006/relationships/table" Target="../tables/table56.xml"/><Relationship Id="rId7" Type="http://schemas.openxmlformats.org/officeDocument/2006/relationships/table" Target="../tables/table60.xml"/><Relationship Id="rId12" Type="http://schemas.openxmlformats.org/officeDocument/2006/relationships/table" Target="../tables/table65.xml"/><Relationship Id="rId17" Type="http://schemas.openxmlformats.org/officeDocument/2006/relationships/table" Target="../tables/table70.xml"/><Relationship Id="rId2" Type="http://schemas.openxmlformats.org/officeDocument/2006/relationships/table" Target="../tables/table55.xml"/><Relationship Id="rId16" Type="http://schemas.openxmlformats.org/officeDocument/2006/relationships/table" Target="../tables/table69.xml"/><Relationship Id="rId20" Type="http://schemas.openxmlformats.org/officeDocument/2006/relationships/table" Target="../tables/table73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11" Type="http://schemas.openxmlformats.org/officeDocument/2006/relationships/table" Target="../tables/table64.xml"/><Relationship Id="rId5" Type="http://schemas.openxmlformats.org/officeDocument/2006/relationships/table" Target="../tables/table58.xml"/><Relationship Id="rId15" Type="http://schemas.openxmlformats.org/officeDocument/2006/relationships/table" Target="../tables/table68.xml"/><Relationship Id="rId10" Type="http://schemas.openxmlformats.org/officeDocument/2006/relationships/table" Target="../tables/table63.xml"/><Relationship Id="rId19" Type="http://schemas.openxmlformats.org/officeDocument/2006/relationships/table" Target="../tables/table72.xml"/><Relationship Id="rId4" Type="http://schemas.openxmlformats.org/officeDocument/2006/relationships/table" Target="../tables/table57.xml"/><Relationship Id="rId9" Type="http://schemas.openxmlformats.org/officeDocument/2006/relationships/table" Target="../tables/table62.xml"/><Relationship Id="rId14" Type="http://schemas.openxmlformats.org/officeDocument/2006/relationships/table" Target="../tables/table67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5.xml"/><Relationship Id="rId18" Type="http://schemas.openxmlformats.org/officeDocument/2006/relationships/table" Target="../tables/table90.xml"/><Relationship Id="rId26" Type="http://schemas.openxmlformats.org/officeDocument/2006/relationships/table" Target="../tables/table98.xml"/><Relationship Id="rId39" Type="http://schemas.openxmlformats.org/officeDocument/2006/relationships/table" Target="../tables/table111.xml"/><Relationship Id="rId21" Type="http://schemas.openxmlformats.org/officeDocument/2006/relationships/table" Target="../tables/table93.xml"/><Relationship Id="rId34" Type="http://schemas.openxmlformats.org/officeDocument/2006/relationships/table" Target="../tables/table106.xml"/><Relationship Id="rId42" Type="http://schemas.openxmlformats.org/officeDocument/2006/relationships/table" Target="../tables/table114.xml"/><Relationship Id="rId7" Type="http://schemas.openxmlformats.org/officeDocument/2006/relationships/table" Target="../tables/table79.xml"/><Relationship Id="rId2" Type="http://schemas.openxmlformats.org/officeDocument/2006/relationships/table" Target="../tables/table74.xml"/><Relationship Id="rId16" Type="http://schemas.openxmlformats.org/officeDocument/2006/relationships/table" Target="../tables/table88.xml"/><Relationship Id="rId29" Type="http://schemas.openxmlformats.org/officeDocument/2006/relationships/table" Target="../tables/table101.xml"/><Relationship Id="rId6" Type="http://schemas.openxmlformats.org/officeDocument/2006/relationships/table" Target="../tables/table78.xml"/><Relationship Id="rId11" Type="http://schemas.openxmlformats.org/officeDocument/2006/relationships/table" Target="../tables/table83.xml"/><Relationship Id="rId24" Type="http://schemas.openxmlformats.org/officeDocument/2006/relationships/table" Target="../tables/table96.xml"/><Relationship Id="rId32" Type="http://schemas.openxmlformats.org/officeDocument/2006/relationships/table" Target="../tables/table104.xml"/><Relationship Id="rId37" Type="http://schemas.openxmlformats.org/officeDocument/2006/relationships/table" Target="../tables/table109.xml"/><Relationship Id="rId40" Type="http://schemas.openxmlformats.org/officeDocument/2006/relationships/table" Target="../tables/table112.xml"/><Relationship Id="rId45" Type="http://schemas.openxmlformats.org/officeDocument/2006/relationships/table" Target="../tables/table117.xml"/><Relationship Id="rId5" Type="http://schemas.openxmlformats.org/officeDocument/2006/relationships/table" Target="../tables/table77.xml"/><Relationship Id="rId15" Type="http://schemas.openxmlformats.org/officeDocument/2006/relationships/table" Target="../tables/table87.xml"/><Relationship Id="rId23" Type="http://schemas.openxmlformats.org/officeDocument/2006/relationships/table" Target="../tables/table95.xml"/><Relationship Id="rId28" Type="http://schemas.openxmlformats.org/officeDocument/2006/relationships/table" Target="../tables/table100.xml"/><Relationship Id="rId36" Type="http://schemas.openxmlformats.org/officeDocument/2006/relationships/table" Target="../tables/table108.xml"/><Relationship Id="rId10" Type="http://schemas.openxmlformats.org/officeDocument/2006/relationships/table" Target="../tables/table82.xml"/><Relationship Id="rId19" Type="http://schemas.openxmlformats.org/officeDocument/2006/relationships/table" Target="../tables/table91.xml"/><Relationship Id="rId31" Type="http://schemas.openxmlformats.org/officeDocument/2006/relationships/table" Target="../tables/table103.xml"/><Relationship Id="rId44" Type="http://schemas.openxmlformats.org/officeDocument/2006/relationships/table" Target="../tables/table116.xml"/><Relationship Id="rId4" Type="http://schemas.openxmlformats.org/officeDocument/2006/relationships/table" Target="../tables/table76.xml"/><Relationship Id="rId9" Type="http://schemas.openxmlformats.org/officeDocument/2006/relationships/table" Target="../tables/table81.xml"/><Relationship Id="rId14" Type="http://schemas.openxmlformats.org/officeDocument/2006/relationships/table" Target="../tables/table86.xml"/><Relationship Id="rId22" Type="http://schemas.openxmlformats.org/officeDocument/2006/relationships/table" Target="../tables/table94.xml"/><Relationship Id="rId27" Type="http://schemas.openxmlformats.org/officeDocument/2006/relationships/table" Target="../tables/table99.xml"/><Relationship Id="rId30" Type="http://schemas.openxmlformats.org/officeDocument/2006/relationships/table" Target="../tables/table102.xml"/><Relationship Id="rId35" Type="http://schemas.openxmlformats.org/officeDocument/2006/relationships/table" Target="../tables/table107.xml"/><Relationship Id="rId43" Type="http://schemas.openxmlformats.org/officeDocument/2006/relationships/table" Target="../tables/table115.xml"/><Relationship Id="rId8" Type="http://schemas.openxmlformats.org/officeDocument/2006/relationships/table" Target="../tables/table80.xml"/><Relationship Id="rId3" Type="http://schemas.openxmlformats.org/officeDocument/2006/relationships/table" Target="../tables/table75.xml"/><Relationship Id="rId12" Type="http://schemas.openxmlformats.org/officeDocument/2006/relationships/table" Target="../tables/table84.xml"/><Relationship Id="rId17" Type="http://schemas.openxmlformats.org/officeDocument/2006/relationships/table" Target="../tables/table89.xml"/><Relationship Id="rId25" Type="http://schemas.openxmlformats.org/officeDocument/2006/relationships/table" Target="../tables/table97.xml"/><Relationship Id="rId33" Type="http://schemas.openxmlformats.org/officeDocument/2006/relationships/table" Target="../tables/table105.xml"/><Relationship Id="rId38" Type="http://schemas.openxmlformats.org/officeDocument/2006/relationships/table" Target="../tables/table110.xml"/><Relationship Id="rId20" Type="http://schemas.openxmlformats.org/officeDocument/2006/relationships/table" Target="../tables/table92.xml"/><Relationship Id="rId41" Type="http://schemas.openxmlformats.org/officeDocument/2006/relationships/table" Target="../tables/table1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2"/>
  <sheetViews>
    <sheetView rightToLeft="1" topLeftCell="A16" zoomScale="55" zoomScaleNormal="55" zoomScaleSheetLayoutView="70" workbookViewId="0">
      <selection activeCell="B3" sqref="B3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608</v>
      </c>
      <c r="B1" s="361" t="s">
        <v>609</v>
      </c>
      <c r="C1" s="361" t="s">
        <v>610</v>
      </c>
      <c r="D1" s="361" t="s">
        <v>96</v>
      </c>
      <c r="E1" s="491"/>
      <c r="F1" s="492"/>
      <c r="G1" s="796" t="s">
        <v>611</v>
      </c>
      <c r="H1" s="796"/>
      <c r="I1" s="796"/>
      <c r="J1" s="503"/>
    </row>
    <row r="2" ht="21">
      <c r="A2" s="580" t="s">
        <v>612</v>
      </c>
      <c r="B2" s="564" t="s">
        <v>613</v>
      </c>
      <c r="C2" s="493" t="s">
        <v>234</v>
      </c>
      <c r="D2" s="494" t="s">
        <v>614</v>
      </c>
      <c r="E2" s="491"/>
      <c r="F2" s="495"/>
      <c r="G2" s="233" t="s">
        <v>9</v>
      </c>
      <c r="H2" s="233" t="s">
        <v>30</v>
      </c>
      <c r="I2" s="233" t="s">
        <v>96</v>
      </c>
      <c r="J2" s="504"/>
    </row>
    <row r="3" ht="21">
      <c r="A3" s="581" t="s">
        <v>615</v>
      </c>
      <c r="B3" s="565" t="s">
        <v>616</v>
      </c>
      <c r="C3" s="496" t="s">
        <v>230</v>
      </c>
      <c r="D3" s="497" t="s">
        <v>617</v>
      </c>
      <c r="E3" s="491"/>
      <c r="F3" s="495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19773</v>
      </c>
      <c r="J3" s="504"/>
    </row>
    <row r="4" ht="21">
      <c r="A4" s="498"/>
      <c r="B4" s="499"/>
      <c r="C4" s="499"/>
      <c r="D4" s="500"/>
      <c r="E4" s="491"/>
      <c r="F4" s="495"/>
      <c r="G4" s="797" t="s">
        <v>618</v>
      </c>
      <c r="H4" s="797"/>
      <c r="I4" s="797"/>
      <c r="J4" s="504"/>
    </row>
    <row r="5" ht="21">
      <c r="A5" s="580" t="s">
        <v>612</v>
      </c>
      <c r="B5" s="564" t="s">
        <v>613</v>
      </c>
      <c r="C5" s="493" t="s">
        <v>234</v>
      </c>
      <c r="D5" s="494" t="s">
        <v>614</v>
      </c>
      <c r="E5" s="491"/>
      <c r="F5" s="495"/>
      <c r="G5" s="233" t="s">
        <v>9</v>
      </c>
      <c r="H5" s="233" t="s">
        <v>30</v>
      </c>
      <c r="I5" s="233" t="s">
        <v>96</v>
      </c>
      <c r="J5" s="504"/>
    </row>
    <row r="6" ht="21" customHeight="1">
      <c r="A6" s="581" t="s">
        <v>615</v>
      </c>
      <c r="B6" s="565" t="s">
        <v>616</v>
      </c>
      <c r="C6" s="496" t="s">
        <v>230</v>
      </c>
      <c r="D6" s="497" t="s">
        <v>617</v>
      </c>
      <c r="E6" s="491"/>
      <c r="F6" s="49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5">
        <f>Table118[[#Totals],[اجمالي]]+Table1421[[#Totals],[اجمالي]]+Table1522[[#Totals],[اجمالي]]+Table1624[[#Totals],[اجمالي]]+Table1319[[#Totals],[اجمالي]]+Table161027[[#Totals],[اجمالي]]</f>
        <v>56344.25</v>
      </c>
      <c r="J6" s="504"/>
    </row>
    <row r="7" ht="21" customHeight="1">
      <c r="A7" s="501"/>
      <c r="B7" s="499"/>
      <c r="C7" s="499"/>
      <c r="D7" s="500"/>
      <c r="E7" s="491"/>
      <c r="F7" s="501"/>
      <c r="G7" s="502"/>
      <c r="H7" s="502"/>
      <c r="I7" s="502"/>
      <c r="J7" s="506"/>
    </row>
    <row r="10" ht="21">
      <c r="A10" s="798" t="s">
        <v>619</v>
      </c>
      <c r="B10" s="798"/>
    </row>
    <row r="11">
      <c r="A11" s="233" t="s">
        <v>450</v>
      </c>
      <c r="B11" s="233" t="s">
        <v>388</v>
      </c>
    </row>
    <row r="12">
      <c r="A12" s="233" t="s">
        <v>620</v>
      </c>
      <c r="B12" s="233">
        <v>45000</v>
      </c>
    </row>
    <row r="13">
      <c r="A13" s="233" t="s">
        <v>621</v>
      </c>
      <c r="B13" s="233">
        <v>50000</v>
      </c>
    </row>
    <row r="14">
      <c r="A14" s="233" t="s">
        <v>238</v>
      </c>
      <c r="B14" s="233">
        <v>252000</v>
      </c>
    </row>
    <row r="15">
      <c r="A15" s="233" t="s">
        <v>622</v>
      </c>
      <c r="B15" s="233">
        <v>70000</v>
      </c>
    </row>
    <row r="16">
      <c r="A16" s="233" t="s">
        <v>623</v>
      </c>
      <c r="B16" s="233">
        <v>950</v>
      </c>
    </row>
    <row r="17">
      <c r="A17" s="233" t="s">
        <v>624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157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158</v>
      </c>
      <c r="B21" s="233">
        <v>470</v>
      </c>
    </row>
    <row r="22">
      <c r="A22" s="233" t="s">
        <v>67</v>
      </c>
      <c r="B22" s="233">
        <v>190</v>
      </c>
    </row>
    <row r="23">
      <c r="A23" s="233" t="s">
        <v>70</v>
      </c>
      <c r="B23" s="233">
        <v>190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44" t="s">
        <v>625</v>
      </c>
      <c r="B33" s="233">
        <v>8000</v>
      </c>
    </row>
    <row r="34">
      <c r="A34" s="233" t="s">
        <v>412</v>
      </c>
      <c r="B34" s="233">
        <v>2000</v>
      </c>
    </row>
    <row r="35">
      <c r="A35" s="233" t="s">
        <v>420</v>
      </c>
      <c r="B35" s="233">
        <v>750</v>
      </c>
    </row>
    <row r="36">
      <c r="A36" s="233" t="s">
        <v>422</v>
      </c>
      <c r="B36" s="233">
        <v>750</v>
      </c>
    </row>
    <row r="37">
      <c r="A37" s="233" t="s">
        <v>430</v>
      </c>
      <c r="B37" s="233">
        <v>5000</v>
      </c>
    </row>
    <row r="38">
      <c r="A38" s="233" t="s">
        <v>432</v>
      </c>
      <c r="B38" s="233">
        <v>800</v>
      </c>
    </row>
    <row r="39">
      <c r="A39" s="233" t="s">
        <v>437</v>
      </c>
      <c r="B39" s="233">
        <v>150</v>
      </c>
    </row>
    <row r="40">
      <c r="A40" s="233" t="s">
        <v>626</v>
      </c>
      <c r="B40" s="233">
        <v>90</v>
      </c>
    </row>
    <row r="41">
      <c r="A41" s="233" t="s">
        <v>627</v>
      </c>
      <c r="B41" s="233">
        <v>30</v>
      </c>
    </row>
    <row r="42" ht="18">
      <c r="A42" s="545" t="s">
        <v>628</v>
      </c>
      <c r="B42" s="233">
        <v>750</v>
      </c>
    </row>
    <row r="43" ht="18">
      <c r="A43" s="545" t="s">
        <v>629</v>
      </c>
      <c r="B43" s="233">
        <v>130</v>
      </c>
    </row>
    <row r="44" ht="18">
      <c r="A44" s="545" t="s">
        <v>630</v>
      </c>
      <c r="B44" s="233">
        <v>400</v>
      </c>
    </row>
    <row r="45">
      <c r="A45" s="233" t="s">
        <v>631</v>
      </c>
      <c r="B45" s="233">
        <v>2000</v>
      </c>
    </row>
    <row r="46">
      <c r="A46" s="233" t="s">
        <v>632</v>
      </c>
      <c r="B46" s="233">
        <v>1500</v>
      </c>
    </row>
    <row r="47">
      <c r="A47" s="233" t="s">
        <v>633</v>
      </c>
      <c r="B47" s="233">
        <v>125</v>
      </c>
    </row>
    <row r="48">
      <c r="A48" s="233" t="s">
        <v>634</v>
      </c>
      <c r="B48" s="233">
        <v>25</v>
      </c>
    </row>
    <row r="49">
      <c r="A49" s="233" t="s">
        <v>635</v>
      </c>
      <c r="B49" s="233">
        <v>1200</v>
      </c>
    </row>
    <row r="50">
      <c r="A50" s="233" t="s">
        <v>280</v>
      </c>
      <c r="B50" s="233">
        <v>120</v>
      </c>
    </row>
    <row r="51">
      <c r="A51" s="233" t="s">
        <v>636</v>
      </c>
      <c r="B51" s="233">
        <v>120</v>
      </c>
    </row>
    <row r="52">
      <c r="A52" s="233" t="s">
        <v>637</v>
      </c>
      <c r="B52" s="233">
        <v>150</v>
      </c>
    </row>
    <row r="53">
      <c r="A53" s="233" t="s">
        <v>638</v>
      </c>
      <c r="B53" s="233">
        <v>70</v>
      </c>
    </row>
    <row r="54">
      <c r="A54" s="233" t="s">
        <v>639</v>
      </c>
      <c r="B54" s="233">
        <v>1200</v>
      </c>
    </row>
    <row r="55">
      <c r="A55" s="544" t="s">
        <v>640</v>
      </c>
      <c r="B55" s="233">
        <v>18000</v>
      </c>
    </row>
    <row r="56">
      <c r="A56" s="544" t="s">
        <v>641</v>
      </c>
      <c r="B56" s="233">
        <v>6000</v>
      </c>
    </row>
    <row r="57">
      <c r="A57" s="544" t="s">
        <v>642</v>
      </c>
      <c r="B57" s="233">
        <v>9000</v>
      </c>
    </row>
    <row r="58">
      <c r="A58" s="233" t="s">
        <v>643</v>
      </c>
      <c r="B58" s="233">
        <v>200</v>
      </c>
    </row>
    <row r="59">
      <c r="A59" s="628" t="s">
        <v>644</v>
      </c>
      <c r="B59" s="233">
        <v>200</v>
      </c>
    </row>
    <row r="60">
      <c r="A60" s="361" t="s">
        <v>460</v>
      </c>
      <c r="B60" s="233">
        <v>600</v>
      </c>
    </row>
    <row r="61">
      <c r="A61" s="361" t="s">
        <v>475</v>
      </c>
      <c r="B61" s="233">
        <v>900</v>
      </c>
    </row>
    <row r="62">
      <c r="A62" s="792" t="s">
        <v>645</v>
      </c>
      <c r="B62" s="233">
        <v>500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896" t="s">
        <v>336</v>
      </c>
      <c r="K1" s="896"/>
      <c r="L1" s="896"/>
      <c r="M1" s="896"/>
      <c r="N1" s="896"/>
      <c r="O1" s="896"/>
      <c r="P1" s="896"/>
      <c r="Q1" s="896"/>
      <c r="R1" s="896"/>
      <c r="S1" s="896"/>
    </row>
    <row r="2" ht="18" customHeight="1">
      <c r="A2" s="11" t="s">
        <v>337</v>
      </c>
      <c r="B2" s="885">
        <f>Royal!C3</f>
        <v>0</v>
      </c>
      <c r="C2" s="886"/>
      <c r="D2" s="886"/>
      <c r="E2" s="886"/>
      <c r="F2" s="887"/>
      <c r="G2" s="1">
        <v>1</v>
      </c>
      <c r="J2" s="896"/>
      <c r="K2" s="896"/>
      <c r="L2" s="896"/>
      <c r="M2" s="896"/>
      <c r="N2" s="896"/>
      <c r="O2" s="896"/>
      <c r="P2" s="896"/>
      <c r="Q2" s="896"/>
      <c r="R2" s="896"/>
      <c r="S2" s="896"/>
    </row>
    <row r="3" ht="18" customHeight="1">
      <c r="A3" s="11" t="s">
        <v>338</v>
      </c>
      <c r="F3" s="888" t="s">
        <v>339</v>
      </c>
      <c r="G3" s="888"/>
    </row>
    <row r="4" ht="18" customHeight="1">
      <c r="A4" s="11" t="s">
        <v>340</v>
      </c>
      <c r="F4" s="889" t="s">
        <v>341</v>
      </c>
      <c r="G4" s="890"/>
      <c r="H4" s="890"/>
      <c r="I4" s="891"/>
      <c r="J4" s="10"/>
    </row>
    <row r="5" ht="18" customHeight="1">
      <c r="A5" s="11" t="s">
        <v>342</v>
      </c>
      <c r="F5" s="892" t="s">
        <v>343</v>
      </c>
      <c r="G5" s="893"/>
      <c r="H5" s="893"/>
      <c r="I5" s="894"/>
      <c r="J5" s="10"/>
    </row>
    <row r="6" ht="18" customHeight="1">
      <c r="A6" s="11" t="s">
        <v>344</v>
      </c>
      <c r="Q6" s="895"/>
      <c r="R6" s="895"/>
      <c r="S6" s="895"/>
    </row>
    <row r="7" ht="18" customHeight="1">
      <c r="B7" s="180" t="s">
        <v>125</v>
      </c>
      <c r="C7" s="181">
        <f>تسعير!AA10</f>
        <v>400</v>
      </c>
      <c r="D7" s="182" t="s">
        <v>164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345</v>
      </c>
    </row>
    <row r="10" ht="18" customHeight="1">
      <c r="A10" s="11" t="s">
        <v>346</v>
      </c>
    </row>
    <row r="11" ht="18" customHeight="1">
      <c r="A11" s="11" t="s">
        <v>347</v>
      </c>
      <c r="B11" s="897" t="s">
        <v>348</v>
      </c>
      <c r="C11" s="898"/>
      <c r="D11" s="893" t="s">
        <v>349</v>
      </c>
      <c r="E11" s="894"/>
    </row>
    <row r="12" ht="18" customHeight="1">
      <c r="A12" s="11" t="s">
        <v>350</v>
      </c>
    </row>
    <row r="13" ht="18" customHeight="1">
      <c r="A13" s="11" t="s">
        <v>351</v>
      </c>
    </row>
    <row r="14" ht="18" customHeight="1"/>
    <row r="15" ht="24.6" customHeight="1">
      <c r="A15" s="11" t="s">
        <v>352</v>
      </c>
      <c r="Q15" s="895"/>
      <c r="R15" s="895"/>
      <c r="S15" s="895"/>
    </row>
    <row r="16" ht="18" customHeight="1">
      <c r="C16" s="888" t="s">
        <v>353</v>
      </c>
      <c r="D16" s="888"/>
      <c r="E16" s="888"/>
      <c r="F16" s="1" t="s">
        <v>354</v>
      </c>
    </row>
    <row r="17" ht="18" customHeight="1">
      <c r="A17" s="888" t="s">
        <v>355</v>
      </c>
      <c r="B17" s="888"/>
      <c r="C17" s="888"/>
    </row>
    <row r="18" ht="18" customHeight="1">
      <c r="A18" s="899" t="s">
        <v>356</v>
      </c>
      <c r="B18" s="900"/>
      <c r="C18" s="14">
        <f>'Format Φωτισμου'!B9</f>
        <v>3</v>
      </c>
    </row>
    <row r="19" ht="18" customHeight="1">
      <c r="A19" s="899" t="s">
        <v>357</v>
      </c>
      <c r="B19" s="900"/>
      <c r="C19" s="14">
        <f>'Format Φωτισμου'!B12</f>
        <v>9</v>
      </c>
    </row>
    <row r="20" ht="18" customHeight="1">
      <c r="A20" s="899" t="s">
        <v>358</v>
      </c>
      <c r="B20" s="900"/>
      <c r="C20" s="14">
        <f>C19/C18</f>
        <v>3</v>
      </c>
    </row>
    <row r="21" ht="18" customHeight="1">
      <c r="A21" s="901" t="s">
        <v>359</v>
      </c>
      <c r="B21" s="902"/>
      <c r="C21" s="903">
        <v>20</v>
      </c>
      <c r="D21" s="904"/>
      <c r="E21" s="897" t="s">
        <v>360</v>
      </c>
      <c r="F21" s="898"/>
      <c r="G21" s="898"/>
      <c r="H21" s="14">
        <f>C21/C18</f>
        <v>6.666666666666667</v>
      </c>
      <c r="J21" s="906"/>
      <c r="K21" s="906"/>
      <c r="L21" s="906"/>
      <c r="M21" s="906"/>
      <c r="N21" s="906"/>
      <c r="O21" s="906"/>
      <c r="P21" s="906"/>
      <c r="Q21" s="906"/>
      <c r="R21" s="906"/>
      <c r="S21" s="906"/>
    </row>
    <row r="22" ht="18" customHeight="1">
      <c r="A22" s="899" t="s">
        <v>361</v>
      </c>
      <c r="B22" s="900"/>
      <c r="C22" s="179">
        <v>50</v>
      </c>
      <c r="D22" s="184" t="s">
        <v>362</v>
      </c>
      <c r="J22" s="906"/>
      <c r="K22" s="906"/>
      <c r="L22" s="906"/>
      <c r="M22" s="906"/>
      <c r="N22" s="906"/>
      <c r="O22" s="906"/>
      <c r="P22" s="906"/>
      <c r="Q22" s="906"/>
      <c r="R22" s="906"/>
      <c r="S22" s="906"/>
    </row>
    <row r="23" ht="18" customHeight="1">
      <c r="J23" s="906"/>
      <c r="K23" s="906"/>
      <c r="L23" s="906"/>
      <c r="M23" s="906"/>
      <c r="N23" s="906"/>
      <c r="O23" s="906"/>
      <c r="P23" s="906"/>
      <c r="Q23" s="906"/>
      <c r="R23" s="906"/>
      <c r="S23" s="906"/>
    </row>
    <row r="24" ht="18" customHeight="1"/>
    <row r="25" ht="18" customHeight="1">
      <c r="A25" s="11" t="s">
        <v>363</v>
      </c>
      <c r="J25" s="905"/>
      <c r="K25" s="905"/>
      <c r="L25" s="905"/>
      <c r="M25" s="905"/>
      <c r="N25" s="905"/>
      <c r="O25" s="905"/>
      <c r="P25" s="905"/>
      <c r="Q25" s="905"/>
      <c r="R25" s="15"/>
      <c r="S25" s="10"/>
    </row>
    <row r="26" ht="18" customHeight="1">
      <c r="G26" s="1" t="s">
        <v>364</v>
      </c>
      <c r="H26" s="1" t="s">
        <v>365</v>
      </c>
    </row>
    <row r="27" ht="18" customHeight="1">
      <c r="A27" s="11" t="s">
        <v>366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895"/>
      <c r="K27" s="895"/>
      <c r="L27" s="895"/>
      <c r="M27" s="895"/>
      <c r="N27" s="895"/>
      <c r="O27" s="895"/>
      <c r="P27" s="895"/>
      <c r="Q27" s="895"/>
      <c r="R27" s="895"/>
      <c r="S27" s="895"/>
    </row>
    <row r="28" ht="18" customHeight="1">
      <c r="A28" s="11" t="s">
        <v>367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347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zoomScaleNormal="100" workbookViewId="0">
      <selection sqref="A1:N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07" t="s">
        <v>368</v>
      </c>
      <c r="B1" s="908"/>
      <c r="C1" s="908"/>
      <c r="D1" s="908"/>
      <c r="E1" s="908"/>
      <c r="F1" s="908"/>
      <c r="G1" s="908"/>
      <c r="H1" s="908"/>
      <c r="I1" s="908"/>
      <c r="J1" s="908"/>
      <c r="K1" s="908"/>
      <c r="L1" s="908"/>
      <c r="M1" s="908"/>
      <c r="N1" s="909"/>
      <c r="O1" s="87"/>
      <c r="P1" s="88"/>
      <c r="Q1" s="88"/>
      <c r="R1" s="88"/>
      <c r="W1" s="136">
        <f>IF(تسعير!T6="سادة",Royal!J2+20000,IF(تسعير!T6="خشبي",Royal!J2+40000,0))</f>
        <v>272000</v>
      </c>
      <c r="X1" s="60" t="s">
        <v>369</v>
      </c>
      <c r="Y1" s="136" t="e">
        <f>Royal!#REF!</f>
        <v>#REF!</v>
      </c>
      <c r="Z1" s="151" t="s">
        <v>370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923" t="s">
        <v>337</v>
      </c>
      <c r="B3" s="923"/>
      <c r="C3" s="923"/>
      <c r="D3" s="925">
        <f>تسجيل1!B2</f>
        <v>0</v>
      </c>
      <c r="E3" s="925"/>
      <c r="F3" s="925"/>
      <c r="G3" s="925"/>
      <c r="H3" s="925"/>
      <c r="I3" s="925"/>
      <c r="J3" s="925"/>
      <c r="K3" s="925"/>
      <c r="L3" s="925"/>
      <c r="M3" s="910" t="s">
        <v>371</v>
      </c>
      <c r="N3" s="910"/>
      <c r="O3" s="89"/>
      <c r="P3" s="90"/>
      <c r="Q3" s="90"/>
      <c r="R3" s="90"/>
      <c r="Z3" s="151"/>
      <c r="AA3" s="60"/>
      <c r="AB3" s="60"/>
    </row>
    <row r="4" ht="13.5" customHeight="1">
      <c r="A4" s="924"/>
      <c r="B4" s="924"/>
      <c r="C4" s="924"/>
      <c r="D4" s="926"/>
      <c r="E4" s="926"/>
      <c r="F4" s="926"/>
      <c r="G4" s="925"/>
      <c r="H4" s="925"/>
      <c r="I4" s="926"/>
      <c r="J4" s="926"/>
      <c r="K4" s="926"/>
      <c r="L4" s="926"/>
      <c r="M4" s="911"/>
      <c r="N4" s="911"/>
      <c r="O4" s="91"/>
      <c r="P4" s="92"/>
      <c r="Q4" s="92"/>
      <c r="R4" s="92"/>
      <c r="Z4" s="151"/>
      <c r="AA4" s="60"/>
      <c r="AB4" s="60"/>
    </row>
    <row r="5" ht="13.5" customHeight="1">
      <c r="A5" s="912" t="e">
        <f>Y1</f>
        <v>#REF!</v>
      </c>
      <c r="B5" s="913"/>
      <c r="C5" s="914"/>
      <c r="D5" s="915" t="s">
        <v>370</v>
      </c>
      <c r="E5" s="916"/>
      <c r="F5" s="917"/>
      <c r="G5" s="63"/>
      <c r="H5" s="63"/>
      <c r="I5" s="912">
        <f>W1</f>
        <v>272000</v>
      </c>
      <c r="J5" s="913"/>
      <c r="K5" s="914"/>
      <c r="L5" s="915" t="s">
        <v>372</v>
      </c>
      <c r="M5" s="916"/>
      <c r="N5" s="917"/>
      <c r="O5" s="93"/>
      <c r="P5" s="92"/>
      <c r="Q5" s="92"/>
      <c r="R5" s="92"/>
      <c r="Z5" s="151"/>
      <c r="AA5" s="60"/>
      <c r="AB5" s="60"/>
    </row>
    <row r="6" ht="16.5" customHeight="1">
      <c r="A6" s="992" t="s">
        <v>373</v>
      </c>
      <c r="B6" s="993"/>
      <c r="C6" s="994"/>
      <c r="D6" s="986" t="s">
        <v>374</v>
      </c>
      <c r="E6" s="918" t="s">
        <v>344</v>
      </c>
      <c r="F6" s="919"/>
      <c r="G6" s="920"/>
      <c r="H6" s="920"/>
      <c r="I6" s="919"/>
      <c r="J6" s="921"/>
      <c r="K6" s="922">
        <f>تسجيل1!C7</f>
        <v>400</v>
      </c>
      <c r="L6" s="922"/>
      <c r="M6" s="94" t="s">
        <v>375</v>
      </c>
      <c r="N6" s="186">
        <f>تسجيل1!E7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92"/>
      <c r="B7" s="993"/>
      <c r="C7" s="994"/>
      <c r="D7" s="986"/>
      <c r="E7" s="927" t="s">
        <v>376</v>
      </c>
      <c r="F7" s="920"/>
      <c r="G7" s="920"/>
      <c r="H7" s="920"/>
      <c r="I7" s="920"/>
      <c r="J7" s="928"/>
      <c r="K7" s="929">
        <f>K6*N6/10000</f>
        <v>16</v>
      </c>
      <c r="L7" s="929"/>
      <c r="M7" s="929"/>
      <c r="N7" s="98" t="s">
        <v>377</v>
      </c>
      <c r="O7" s="99">
        <f>AA41/K7</f>
        <v>2819.4486466796357</v>
      </c>
      <c r="S7" s="60" t="s">
        <v>127</v>
      </c>
      <c r="T7" s="61" t="s">
        <v>378</v>
      </c>
      <c r="Z7" s="151"/>
      <c r="AA7" s="60"/>
      <c r="AB7" s="60"/>
    </row>
    <row r="8">
      <c r="A8" s="995"/>
      <c r="B8" s="996"/>
      <c r="C8" s="997"/>
      <c r="D8" s="987"/>
      <c r="E8" s="930" t="s">
        <v>379</v>
      </c>
      <c r="F8" s="931"/>
      <c r="G8" s="931"/>
      <c r="H8" s="931"/>
      <c r="I8" s="931"/>
      <c r="J8" s="932"/>
      <c r="K8" s="933">
        <f>K6-1</f>
        <v>399</v>
      </c>
      <c r="L8" s="933"/>
      <c r="M8" s="100" t="s">
        <v>380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45111.178346874171</v>
      </c>
      <c r="P8" s="103"/>
      <c r="Q8" s="103"/>
      <c r="R8" s="103"/>
      <c r="S8" s="103">
        <f>IF(تسعير!T10=Sheet2!A3,Sheet2!B16,Sheet2!B58)</f>
        <v>200</v>
      </c>
      <c r="T8" s="137">
        <f>((K8*N8)/10000)*1.2</f>
        <v>17.81136</v>
      </c>
      <c r="U8" s="138">
        <f>T8*S8</f>
        <v>3562.272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34" t="s">
        <v>381</v>
      </c>
      <c r="B10" s="934"/>
      <c r="C10" s="934"/>
      <c r="D10" s="934"/>
      <c r="E10" s="934"/>
      <c r="F10" s="934"/>
      <c r="G10" s="935" t="s">
        <v>324</v>
      </c>
      <c r="H10" s="935"/>
      <c r="I10" s="935" t="s">
        <v>382</v>
      </c>
      <c r="J10" s="935"/>
      <c r="K10" s="104"/>
      <c r="L10" s="936" t="s">
        <v>366</v>
      </c>
      <c r="M10" s="936"/>
      <c r="N10" s="936"/>
      <c r="O10" s="105"/>
      <c r="P10" s="97"/>
      <c r="Q10" s="97"/>
      <c r="R10" s="97"/>
      <c r="S10" s="90" t="s">
        <v>383</v>
      </c>
      <c r="T10" s="90" t="s">
        <v>384</v>
      </c>
      <c r="U10" s="90" t="s">
        <v>385</v>
      </c>
      <c r="V10" s="90" t="s">
        <v>386</v>
      </c>
      <c r="W10" s="60" t="s">
        <v>387</v>
      </c>
      <c r="X10" s="60" t="s">
        <v>388</v>
      </c>
      <c r="Z10" s="151"/>
      <c r="AA10" s="60"/>
      <c r="AB10" s="60"/>
    </row>
    <row r="11" ht="20.1" customHeight="1">
      <c r="A11" s="937" t="s">
        <v>389</v>
      </c>
      <c r="B11" s="938"/>
      <c r="C11" s="938"/>
      <c r="D11" s="938"/>
      <c r="E11" s="938"/>
      <c r="F11" s="939"/>
      <c r="G11" s="940">
        <f>L11</f>
        <v>2</v>
      </c>
      <c r="H11" s="940"/>
      <c r="I11" s="941">
        <f>'Format διαστασης οδηγου'!F8</f>
        <v>365</v>
      </c>
      <c r="J11" s="941"/>
      <c r="K11" s="106"/>
      <c r="L11" s="942">
        <f>IF(تسعير!T10=Sheet2!A3,2,IF(Format!A7=1,تسجيل1!H27,IF(Format!A7=2,تسجيل1!H27,IF(Format!A7=3,تسجيل1!H27,IF(Format!A7=4,تسجيل1!H27,IF(Format!A7=5,تسجيل1!H27,"-------"))))))</f>
        <v>2</v>
      </c>
      <c r="M11" s="942"/>
      <c r="N11" s="942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5">
        <v>4.45627705627706</v>
      </c>
      <c r="X11" s="586">
        <f>($W$1/1000)*W11*V11</f>
        <v>9090.8051948052034</v>
      </c>
      <c r="Z11" s="151"/>
      <c r="AA11" s="60"/>
      <c r="AB11" s="60"/>
    </row>
    <row r="12" ht="20.1" customHeight="1">
      <c r="A12" s="943" t="s">
        <v>390</v>
      </c>
      <c r="B12" s="943"/>
      <c r="C12" s="943"/>
      <c r="D12" s="943"/>
      <c r="E12" s="943"/>
      <c r="F12" s="943"/>
      <c r="G12" s="944">
        <f>IF(L11&gt;2,4,IF(L11=2,2))</f>
        <v>2</v>
      </c>
      <c r="H12" s="944"/>
      <c r="I12" s="945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45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5">
        <v>1.86378737541528</v>
      </c>
      <c r="X12" s="586">
        <f>($W$1/1000)*W12*V12</f>
        <v>4055.6013289036496</v>
      </c>
      <c r="Z12" s="151"/>
      <c r="AA12" s="60"/>
      <c r="AB12" s="60"/>
    </row>
    <row r="13" ht="20.1" customHeight="1">
      <c r="A13" s="943" t="s">
        <v>391</v>
      </c>
      <c r="B13" s="943"/>
      <c r="C13" s="943"/>
      <c r="D13" s="943"/>
      <c r="E13" s="943"/>
      <c r="F13" s="943"/>
      <c r="G13" s="944" t="str">
        <f>IF(L11&lt;=3,"0",(L11-3)*2)</f>
        <v>0</v>
      </c>
      <c r="H13" s="944"/>
      <c r="I13" s="945">
        <f>IF(G13="-------","-------",L17-5)</f>
        <v>386</v>
      </c>
      <c r="J13" s="945"/>
      <c r="K13" s="106"/>
      <c r="L13" s="946" t="s">
        <v>392</v>
      </c>
      <c r="M13" s="946"/>
      <c r="N13" s="946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5">
        <v>1.86378737541528</v>
      </c>
      <c r="X13" s="586">
        <f ref="X13:X20" t="shared" si="6">($W$1/1000)*W13*V13</f>
        <v>0</v>
      </c>
      <c r="Z13" s="151"/>
      <c r="AA13" s="60"/>
      <c r="AB13" s="60"/>
    </row>
    <row r="14" ht="20.1" customHeight="1">
      <c r="A14" s="943" t="s">
        <v>393</v>
      </c>
      <c r="B14" s="943"/>
      <c r="C14" s="943"/>
      <c r="D14" s="943"/>
      <c r="E14" s="943"/>
      <c r="F14" s="943"/>
      <c r="G14" s="944">
        <f>IF(L11&gt;2,2*L14,IF(L11=2,L14))</f>
        <v>5</v>
      </c>
      <c r="H14" s="944"/>
      <c r="I14" s="945">
        <f>I12</f>
        <v>399</v>
      </c>
      <c r="J14" s="945"/>
      <c r="K14" s="106"/>
      <c r="L14" s="109">
        <f>تسجيل1!H28</f>
        <v>5</v>
      </c>
      <c r="M14" s="110" t="s">
        <v>394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5">
        <v>1.05172413793103</v>
      </c>
      <c r="X14" s="586">
        <f t="shared" si="6"/>
        <v>5721.3793103448024</v>
      </c>
      <c r="Z14" s="151"/>
      <c r="AA14" s="60"/>
      <c r="AB14" s="60"/>
    </row>
    <row r="15" ht="20.1" customHeight="1">
      <c r="A15" s="943" t="s">
        <v>395</v>
      </c>
      <c r="B15" s="943"/>
      <c r="C15" s="943"/>
      <c r="D15" s="943"/>
      <c r="E15" s="943"/>
      <c r="F15" s="943"/>
      <c r="G15" s="944" t="str">
        <f>IF(L11&lt;=3,"0",(L11-3)*L14)</f>
        <v>0</v>
      </c>
      <c r="H15" s="944"/>
      <c r="I15" s="945">
        <f>IF(G15="-------","---------",I13)</f>
        <v>386</v>
      </c>
      <c r="J15" s="945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5">
        <v>1.05172413793103</v>
      </c>
      <c r="X15" s="586">
        <f t="shared" si="6"/>
        <v>0</v>
      </c>
      <c r="Z15" s="151"/>
      <c r="AA15" s="60"/>
      <c r="AB15" s="60"/>
    </row>
    <row r="16" ht="20.1" customHeight="1">
      <c r="A16" s="943" t="s">
        <v>396</v>
      </c>
      <c r="B16" s="943"/>
      <c r="C16" s="943"/>
      <c r="D16" s="943"/>
      <c r="E16" s="943"/>
      <c r="F16" s="943"/>
      <c r="G16" s="944">
        <v>1</v>
      </c>
      <c r="H16" s="944"/>
      <c r="I16" s="945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45"/>
      <c r="K16" s="106"/>
      <c r="L16" s="947" t="s">
        <v>397</v>
      </c>
      <c r="M16" s="947"/>
      <c r="N16" s="947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5">
        <v>1.3948717948718</v>
      </c>
      <c r="X16" s="586">
        <f t="shared" si="6"/>
        <v>1517.6205128205183</v>
      </c>
      <c r="Z16" s="151"/>
      <c r="AA16" s="60"/>
      <c r="AB16" s="60"/>
    </row>
    <row r="17" ht="20.1" customHeight="1">
      <c r="A17" s="943" t="s">
        <v>398</v>
      </c>
      <c r="B17" s="943"/>
      <c r="C17" s="943"/>
      <c r="D17" s="943"/>
      <c r="E17" s="943"/>
      <c r="F17" s="943"/>
      <c r="G17" s="944" t="str">
        <f>IF(L11=2,"0",1)</f>
        <v>0</v>
      </c>
      <c r="H17" s="944"/>
      <c r="I17" s="945">
        <f>IF(G17="-------","-------",IF(Format!A7=1,(L17+3),IF(Format!A7=2,(L17+3.5),IF(Format!A7=3,(L17+3),IF(Format!A7=4,(L17+4.25),IF(Format!A7=5,(L17+5),"--------"))))))</f>
        <v>394.5</v>
      </c>
      <c r="J17" s="945"/>
      <c r="K17" s="106"/>
      <c r="L17" s="948">
        <f>IF(Format!A7=1,(K6-2-6)/(L11-1),IF(Format!A7=2,(K6-2-7)/(L11-1),IF(Format!A7=3,(K6-2-6)/(L11-1),IF(Format!A7=4,(K6-2-8.5)/(L11-1),IF(Format!A7=5,(K6-2-10)/(L11-1),"--------")))))</f>
        <v>391</v>
      </c>
      <c r="M17" s="948"/>
      <c r="N17" s="948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5">
        <v>1.3948717948718</v>
      </c>
      <c r="X17" s="586">
        <f t="shared" si="6"/>
        <v>0</v>
      </c>
      <c r="Z17" s="151"/>
      <c r="AA17" s="60"/>
      <c r="AB17" s="60"/>
    </row>
    <row r="18" ht="20.1" customHeight="1">
      <c r="A18" s="943" t="s">
        <v>399</v>
      </c>
      <c r="B18" s="943"/>
      <c r="C18" s="943"/>
      <c r="D18" s="943"/>
      <c r="E18" s="943"/>
      <c r="F18" s="943"/>
      <c r="G18" s="944" t="str">
        <f>IF(L11&lt;=3,"0",(L11-3))</f>
        <v>0</v>
      </c>
      <c r="H18" s="944"/>
      <c r="I18" s="945">
        <f>IF(G18="-------","-------",L17)</f>
        <v>391</v>
      </c>
      <c r="J18" s="945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5">
        <v>1.3948717948718</v>
      </c>
      <c r="X18" s="586">
        <f t="shared" si="6"/>
        <v>0</v>
      </c>
      <c r="Z18" s="151"/>
      <c r="AA18" s="60"/>
      <c r="AB18" s="60"/>
    </row>
    <row r="19" ht="20.1" customHeight="1">
      <c r="A19" s="943" t="str">
        <f>IF(Format!H4=1,"Balloon","-------")</f>
        <v>-------</v>
      </c>
      <c r="B19" s="943"/>
      <c r="C19" s="943"/>
      <c r="D19" s="943"/>
      <c r="E19" s="943"/>
      <c r="F19" s="943"/>
      <c r="G19" s="944" t="str">
        <f>IF([1]Format!H4=1,'[1]تقطيع البرجولة'!L14,"0")</f>
        <v>0</v>
      </c>
      <c r="H19" s="944"/>
      <c r="I19" s="945">
        <f>IF(G19="-------","-------",K6-2.5)</f>
        <v>397.5</v>
      </c>
      <c r="J19" s="945"/>
      <c r="K19" s="106"/>
      <c r="L19" s="949" t="s">
        <v>347</v>
      </c>
      <c r="M19" s="950"/>
      <c r="N19" s="951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6">
        <f t="shared" si="6"/>
        <v>0</v>
      </c>
      <c r="Z19" s="151"/>
      <c r="AA19" s="60"/>
      <c r="AB19" s="60"/>
    </row>
    <row r="20" ht="20.1" customHeight="1">
      <c r="A20" s="952" t="s">
        <v>400</v>
      </c>
      <c r="B20" s="953"/>
      <c r="C20" s="953"/>
      <c r="D20" s="953"/>
      <c r="E20" s="953"/>
      <c r="F20" s="954"/>
      <c r="G20" s="952">
        <f>IF(تسعير!T10=Sheet2!A3,0,(G12+G13)/2)</f>
        <v>1</v>
      </c>
      <c r="H20" s="953"/>
      <c r="I20" s="945">
        <f>L17-7</f>
        <v>384</v>
      </c>
      <c r="J20" s="945"/>
      <c r="K20" s="106"/>
      <c r="L20" s="114" t="s">
        <v>324</v>
      </c>
      <c r="M20" s="955" t="s">
        <v>401</v>
      </c>
      <c r="N20" s="955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0.96</v>
      </c>
      <c r="U20" s="60">
        <f t="shared" si="0"/>
        <v>1</v>
      </c>
      <c r="V20" s="60">
        <f t="shared" si="1"/>
        <v>4</v>
      </c>
      <c r="W20" s="60">
        <v>1.65</v>
      </c>
      <c r="X20" s="586">
        <f t="shared" si="6"/>
        <v>1795.1999999999998</v>
      </c>
      <c r="Z20" s="151"/>
      <c r="AA20" s="60"/>
      <c r="AB20" s="60"/>
    </row>
    <row r="21" ht="20.1" customHeight="1">
      <c r="A21" s="956" t="s">
        <v>402</v>
      </c>
      <c r="B21" s="956"/>
      <c r="C21" s="956"/>
      <c r="D21" s="956"/>
      <c r="E21" s="956"/>
      <c r="F21" s="956"/>
      <c r="G21" s="957">
        <f>L11</f>
        <v>2</v>
      </c>
      <c r="H21" s="957"/>
      <c r="I21" s="958">
        <f>(I11*2)+45</f>
        <v>775</v>
      </c>
      <c r="J21" s="958"/>
      <c r="K21" s="106"/>
      <c r="L21" s="112">
        <f>IF(Format!E7=1,"-------",IF(Format!E7=5,"-------",تسجيل1!H30))</f>
        <v>2</v>
      </c>
      <c r="M21" s="947" t="str">
        <f>IF(L21="-------","-------",تسجيل1!D11)</f>
        <v>4Χ220- 1Χ250</v>
      </c>
      <c r="N21" s="947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23097.906346874173</v>
      </c>
      <c r="Z22" s="151"/>
      <c r="AA22" s="60"/>
      <c r="AB22" s="60"/>
    </row>
    <row r="23" ht="20.1" customHeight="1">
      <c r="A23" s="959" t="s">
        <v>403</v>
      </c>
      <c r="B23" s="960"/>
      <c r="C23" s="960"/>
      <c r="D23" s="960"/>
      <c r="E23" s="961"/>
      <c r="F23" s="67" t="s">
        <v>404</v>
      </c>
      <c r="G23" s="68"/>
      <c r="H23" s="959" t="s">
        <v>405</v>
      </c>
      <c r="I23" s="960"/>
      <c r="J23" s="960"/>
      <c r="K23" s="960"/>
      <c r="L23" s="961"/>
      <c r="M23" s="67" t="s">
        <v>324</v>
      </c>
      <c r="N23" s="119"/>
      <c r="O23" s="119"/>
      <c r="P23" s="120"/>
      <c r="Q23" s="120"/>
      <c r="R23" s="120"/>
      <c r="S23" s="146"/>
      <c r="T23" s="147" t="s">
        <v>406</v>
      </c>
      <c r="U23" s="146" t="s">
        <v>407</v>
      </c>
      <c r="V23" s="146" t="s">
        <v>408</v>
      </c>
      <c r="W23" s="146" t="s">
        <v>409</v>
      </c>
      <c r="X23" s="146" t="s">
        <v>407</v>
      </c>
      <c r="Y23" s="146" t="s">
        <v>408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2" t="s">
        <v>410</v>
      </c>
      <c r="C24" s="962"/>
      <c r="D24" s="962"/>
      <c r="E24" s="962"/>
      <c r="F24" s="70">
        <f>L11</f>
        <v>2</v>
      </c>
      <c r="G24" s="71"/>
      <c r="H24" s="69">
        <v>16</v>
      </c>
      <c r="I24" s="962" t="s">
        <v>352</v>
      </c>
      <c r="J24" s="962"/>
      <c r="K24" s="962"/>
      <c r="L24" s="962"/>
      <c r="M24" s="587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963" t="s">
        <v>411</v>
      </c>
      <c r="C25" s="963"/>
      <c r="D25" s="963"/>
      <c r="E25" s="963"/>
      <c r="F25" s="73">
        <f>L11</f>
        <v>2</v>
      </c>
      <c r="G25" s="71"/>
      <c r="H25" s="72">
        <v>17</v>
      </c>
      <c r="I25" s="963" t="s">
        <v>412</v>
      </c>
      <c r="J25" s="963"/>
      <c r="K25" s="963"/>
      <c r="L25" s="96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963" t="s">
        <v>413</v>
      </c>
      <c r="C26" s="963"/>
      <c r="D26" s="963"/>
      <c r="E26" s="963"/>
      <c r="F26" s="73">
        <f>M24</f>
        <v>1</v>
      </c>
      <c r="G26" s="71"/>
      <c r="H26" s="72">
        <v>18</v>
      </c>
      <c r="I26" s="963" t="s">
        <v>414</v>
      </c>
      <c r="J26" s="963"/>
      <c r="K26" s="963"/>
      <c r="L26" s="96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964" t="s">
        <v>415</v>
      </c>
      <c r="C27" s="965"/>
      <c r="D27" s="965"/>
      <c r="E27" s="966"/>
      <c r="F27" s="73">
        <v>4</v>
      </c>
      <c r="G27" s="71"/>
      <c r="H27" s="72">
        <v>19</v>
      </c>
      <c r="I27" s="963" t="s">
        <v>416</v>
      </c>
      <c r="J27" s="963"/>
      <c r="K27" s="963"/>
      <c r="L27" s="96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964" t="s">
        <v>417</v>
      </c>
      <c r="C28" s="965"/>
      <c r="D28" s="965"/>
      <c r="E28" s="966"/>
      <c r="F28" s="73">
        <f>L14</f>
        <v>5</v>
      </c>
      <c r="G28" s="71"/>
      <c r="H28" s="72">
        <v>20</v>
      </c>
      <c r="I28" s="963" t="s">
        <v>418</v>
      </c>
      <c r="J28" s="963"/>
      <c r="K28" s="963"/>
      <c r="L28" s="96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964" t="s">
        <v>419</v>
      </c>
      <c r="C29" s="965"/>
      <c r="D29" s="965"/>
      <c r="E29" s="966"/>
      <c r="F29" s="73">
        <f>L11*2</f>
        <v>4</v>
      </c>
      <c r="G29" s="71"/>
      <c r="H29" s="72">
        <v>21</v>
      </c>
      <c r="I29" s="963" t="s">
        <v>420</v>
      </c>
      <c r="J29" s="963"/>
      <c r="K29" s="963"/>
      <c r="L29" s="96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964" t="s">
        <v>421</v>
      </c>
      <c r="C30" s="965"/>
      <c r="D30" s="965"/>
      <c r="E30" s="966"/>
      <c r="F30" s="73">
        <f>L14*L11</f>
        <v>10</v>
      </c>
      <c r="G30" s="71"/>
      <c r="H30" s="72">
        <v>22</v>
      </c>
      <c r="I30" s="963" t="s">
        <v>422</v>
      </c>
      <c r="J30" s="963"/>
      <c r="K30" s="963"/>
      <c r="L30" s="96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964" t="s">
        <v>423</v>
      </c>
      <c r="C31" s="965"/>
      <c r="D31" s="965"/>
      <c r="E31" s="966"/>
      <c r="F31" s="73">
        <f>(L14+N14)*2</f>
        <v>14</v>
      </c>
      <c r="G31" s="71"/>
      <c r="H31" s="72">
        <v>23</v>
      </c>
      <c r="I31" s="963" t="s">
        <v>424</v>
      </c>
      <c r="J31" s="963"/>
      <c r="K31" s="963"/>
      <c r="L31" s="96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964" t="s">
        <v>425</v>
      </c>
      <c r="C32" s="965"/>
      <c r="D32" s="965"/>
      <c r="E32" s="966"/>
      <c r="F32" s="73">
        <f>(L14+N14)*2</f>
        <v>14</v>
      </c>
      <c r="G32" s="71"/>
      <c r="H32" s="72">
        <v>24</v>
      </c>
      <c r="I32" s="963" t="s">
        <v>426</v>
      </c>
      <c r="J32" s="963"/>
      <c r="K32" s="963"/>
      <c r="L32" s="96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964" t="s">
        <v>427</v>
      </c>
      <c r="C33" s="965"/>
      <c r="D33" s="965"/>
      <c r="E33" s="966"/>
      <c r="F33" s="73">
        <f>L11*3</f>
        <v>6</v>
      </c>
      <c r="G33" s="71"/>
      <c r="H33" s="72">
        <v>25</v>
      </c>
      <c r="I33" s="963" t="s">
        <v>428</v>
      </c>
      <c r="J33" s="963"/>
      <c r="K33" s="963"/>
      <c r="L33" s="96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964" t="s">
        <v>429</v>
      </c>
      <c r="C34" s="965"/>
      <c r="D34" s="965"/>
      <c r="E34" s="966"/>
      <c r="F34" s="73">
        <f>L11*3</f>
        <v>6</v>
      </c>
      <c r="G34" s="71"/>
      <c r="H34" s="72">
        <v>26</v>
      </c>
      <c r="I34" s="963" t="s">
        <v>430</v>
      </c>
      <c r="J34" s="963"/>
      <c r="K34" s="963"/>
      <c r="L34" s="96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964" t="s">
        <v>431</v>
      </c>
      <c r="C35" s="965"/>
      <c r="D35" s="965"/>
      <c r="E35" s="966"/>
      <c r="F35" s="73" t="str">
        <f>IF(L11&gt;2,(L11-2)*2,"0")</f>
        <v>0</v>
      </c>
      <c r="G35" s="74"/>
      <c r="H35" s="72">
        <v>27</v>
      </c>
      <c r="I35" s="963" t="s">
        <v>432</v>
      </c>
      <c r="J35" s="963"/>
      <c r="K35" s="963"/>
      <c r="L35" s="96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964" t="s">
        <v>433</v>
      </c>
      <c r="C36" s="965"/>
      <c r="D36" s="965"/>
      <c r="E36" s="966"/>
      <c r="F36" s="73" t="str">
        <f>IF(L11&gt;2,(L11-2)*L14,"0")</f>
        <v>0</v>
      </c>
      <c r="G36" s="74"/>
      <c r="H36" s="72">
        <v>28</v>
      </c>
      <c r="I36" s="963" t="s">
        <v>434</v>
      </c>
      <c r="J36" s="963"/>
      <c r="K36" s="963"/>
      <c r="L36" s="963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100</v>
      </c>
    </row>
    <row r="37" ht="20.1" customHeight="1" s="58" customFormat="1">
      <c r="A37" s="72">
        <v>14</v>
      </c>
      <c r="B37" s="964" t="s">
        <v>435</v>
      </c>
      <c r="C37" s="965"/>
      <c r="D37" s="965"/>
      <c r="E37" s="966"/>
      <c r="F37" s="73">
        <f>M24</f>
        <v>1</v>
      </c>
      <c r="G37" s="74"/>
      <c r="H37" s="72">
        <v>29</v>
      </c>
      <c r="I37" s="963" t="s">
        <v>436</v>
      </c>
      <c r="J37" s="963"/>
      <c r="K37" s="963"/>
      <c r="L37" s="96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963" t="s">
        <v>437</v>
      </c>
      <c r="C38" s="963"/>
      <c r="D38" s="963"/>
      <c r="E38" s="963"/>
      <c r="F38" s="73">
        <f>تسجيل1!C21</f>
        <v>20</v>
      </c>
      <c r="G38" s="74"/>
      <c r="H38" s="72">
        <v>30</v>
      </c>
      <c r="I38" s="963" t="s">
        <v>438</v>
      </c>
      <c r="J38" s="963"/>
      <c r="K38" s="963"/>
      <c r="L38" s="963"/>
      <c r="M38" s="73">
        <f>IF(تسعير!T10=Sheet2!A3,0,(I11*4)/100)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146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88">
        <f>SUM(AA24:AB38)</f>
        <v>18451</v>
      </c>
      <c r="AB39" s="988"/>
    </row>
    <row r="40" ht="20.4" customHeight="1" s="58" customFormat="1">
      <c r="A40" s="998" t="s">
        <v>439</v>
      </c>
      <c r="B40" s="999"/>
      <c r="C40" s="999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88"/>
      <c r="AB40" s="988"/>
    </row>
    <row r="41" ht="18.75" customHeight="1" s="58" customFormat="1">
      <c r="A41" s="989" t="str">
        <f>IF(Format!I5=1,"-------",IF(Format!I5=2,Format!I3,Format!I4))</f>
        <v>صونفي </v>
      </c>
      <c r="B41" s="990"/>
      <c r="C41" s="991"/>
      <c r="D41" s="81"/>
      <c r="E41" s="81"/>
      <c r="F41" s="76"/>
      <c r="G41" s="68"/>
      <c r="H41" s="75"/>
      <c r="I41" s="81"/>
      <c r="J41" s="81"/>
      <c r="K41" s="81"/>
      <c r="L41" s="1000" t="s">
        <v>340</v>
      </c>
      <c r="M41" s="1001"/>
      <c r="N41" s="1002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1003">
        <f>AA39+X22+U8</f>
        <v>45111.178346874171</v>
      </c>
      <c r="AB41" s="1003"/>
    </row>
    <row r="42" ht="13.95" customHeight="1" s="58" customFormat="1">
      <c r="A42" s="989"/>
      <c r="B42" s="990"/>
      <c r="C42" s="991"/>
      <c r="D42" s="10"/>
      <c r="E42" s="10"/>
      <c r="F42" s="10"/>
      <c r="G42" s="10"/>
      <c r="H42" s="10"/>
      <c r="I42" s="10"/>
      <c r="J42" s="10"/>
      <c r="K42" s="10"/>
      <c r="L42" s="967" t="str">
        <f>IF(Format!B5=1,Format!B2,IF(Format!B5=2,Format!B3,تسجيل1!F4))</f>
        <v>بيج  Ral 1013</v>
      </c>
      <c r="M42" s="968"/>
      <c r="N42" s="96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70" t="str">
        <f>IF(Format!P5=1,"Τηλεχειρισμος",IF(Format!P5=2,"-------","Διακοπτης"))</f>
        <v>Τηλεχειρισμος</v>
      </c>
      <c r="B43" s="971"/>
      <c r="C43" s="972"/>
      <c r="D43" s="10"/>
      <c r="E43" s="10"/>
      <c r="F43" s="10"/>
      <c r="G43" s="10"/>
      <c r="H43" s="10"/>
      <c r="I43" s="10"/>
      <c r="J43" s="10"/>
      <c r="K43" s="10"/>
      <c r="L43" s="973" t="s">
        <v>342</v>
      </c>
      <c r="M43" s="974"/>
      <c r="N43" s="97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76" t="str">
        <f>IF(Format!C8=1,Format!C2,IF(Format!C8=2,Format!C3,IF(Format!C8=3,Format!C4,IF(Format!C8=4,Format!C5,IF(Format!C8=5,Format!C6,تسجيل1!F5)))))</f>
        <v>بيج  Ral 1013</v>
      </c>
      <c r="M44" s="977"/>
      <c r="N44" s="97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79" t="str">
        <f>A3</f>
        <v>اسم العميل </v>
      </c>
      <c r="B96" s="980"/>
      <c r="C96" s="98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81">
        <f>N8</f>
        <v>372</v>
      </c>
      <c r="N97" s="98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83" t="str">
        <f>L44</f>
        <v>بيج  Ral 1013</v>
      </c>
      <c r="K98" s="984"/>
      <c r="L98" s="984"/>
      <c r="M98" s="984"/>
      <c r="N98" s="98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6871-7907-4E1D-A05D-22E6304F6056}">
  <dimension ref="A1:AI246"/>
  <sheetViews>
    <sheetView rightToLeft="1" topLeftCell="M1" workbookViewId="0">
      <selection activeCell="AI1" sqref="AI1:AI2"/>
    </sheetView>
  </sheetViews>
  <sheetFormatPr defaultColWidth="8.88671875" defaultRowHeight="14.4"/>
  <cols>
    <col min="1" max="1" width="8.88671875" customWidth="1" style="361"/>
    <col min="2" max="2" width="40.6640625" customWidth="1" style="361"/>
    <col min="3" max="4" width="10.33203125" customWidth="1" style="361"/>
    <col min="5" max="5" width="14" customWidth="1" style="361"/>
    <col min="6" max="6" width="16.109375" customWidth="1" style="361"/>
    <col min="7" max="8" width="10.109375" customWidth="1" style="361"/>
    <col min="9" max="9" width="8.88671875" customWidth="1" style="361"/>
    <col min="10" max="10" width="12.33203125" customWidth="1" style="361"/>
    <col min="11" max="11" width="13.44140625" customWidth="1" style="361"/>
    <col min="12" max="12" width="36.5546875" customWidth="1" style="361"/>
    <col min="13" max="15" width="8.88671875" customWidth="1" style="361"/>
    <col min="16" max="16" width="15.33203125" customWidth="1" style="361"/>
    <col min="17" max="17" width="8.88671875" customWidth="1" style="361"/>
    <col min="18" max="18" width="3.33203125" customWidth="1" style="361"/>
    <col min="19" max="19" width="23.6640625" customWidth="1" style="361"/>
    <col min="20" max="20" width="9.44140625" customWidth="1" style="361"/>
    <col min="21" max="21" width="14.109375" customWidth="1" style="361"/>
    <col min="22" max="22" width="10.5546875" customWidth="1" style="361"/>
    <col min="23" max="23" width="16" customWidth="1" style="361"/>
    <col min="24" max="24" width="2.5546875" customWidth="1" style="361"/>
    <col min="25" max="26" width="8.88671875" customWidth="1" style="361"/>
    <col min="27" max="27" width="26.6640625" customWidth="1" style="361"/>
    <col min="28" max="30" width="8.88671875" customWidth="1" style="361"/>
    <col min="31" max="31" width="16.33203125" customWidth="1" style="361"/>
    <col min="32" max="16384" width="8.88671875" customWidth="1" style="361"/>
  </cols>
  <sheetData>
    <row r="1">
      <c r="AF1" s="361" t="s">
        <v>440</v>
      </c>
      <c r="AG1" s="361">
        <v>300</v>
      </c>
      <c r="AH1" s="361">
        <v>300</v>
      </c>
      <c r="AI1" s="361" t="s">
        <v>234</v>
      </c>
    </row>
    <row r="2" ht="31.2" customHeight="1">
      <c r="B2" s="632" t="s">
        <v>441</v>
      </c>
      <c r="C2" s="632" t="s">
        <v>125</v>
      </c>
      <c r="D2" s="632" t="s">
        <v>126</v>
      </c>
      <c r="E2" s="632" t="s">
        <v>442</v>
      </c>
      <c r="F2" s="632" t="s">
        <v>443</v>
      </c>
      <c r="G2" s="1091" t="s">
        <v>444</v>
      </c>
      <c r="H2" s="1091"/>
      <c r="K2" s="632" t="s">
        <v>445</v>
      </c>
      <c r="AF2" s="361" t="s">
        <v>446</v>
      </c>
      <c r="AG2" s="361">
        <v>350</v>
      </c>
      <c r="AH2" s="361">
        <v>350</v>
      </c>
      <c r="AI2" s="361" t="s">
        <v>230</v>
      </c>
    </row>
    <row r="3" ht="31.2" customHeight="1">
      <c r="B3" s="595" t="str">
        <f>تسعير!AH46</f>
        <v>MESH</v>
      </c>
      <c r="C3" s="595">
        <f>تسعير!AI46</f>
        <v>350</v>
      </c>
      <c r="D3" s="595">
        <f>تسعير!AJ46</f>
        <v>400</v>
      </c>
      <c r="E3" s="595" t="str">
        <f>تسعير!AK46</f>
        <v>سادة</v>
      </c>
      <c r="F3" s="595" t="str">
        <f>تسعير!AL46</f>
        <v>سادة</v>
      </c>
      <c r="G3" s="1092">
        <f>IF(Table1134[[#This Row],[المنتج]]=AF1,Table2135[[#Totals],[القيمة]]*1.25,IF(Table1134[[#This Row],[المنتج]]=AF3,Table4137[[#Totals],[Column5]]*1.25,IF(Table1134[[#This Row],[المنتج]]=AF2,Table211[[#Totals],[القيمة]]*1.25,IF(Table1134[[#This Row],[المنتج]]=AF4,Table212[[#Totals],[القيمة]]*1.25,IF(Table1134[[#This Row],[المنتج]]=AF5,Table21213[[#Totals],[القيمة]]*1.25,IF(Table1134[[#This Row],[المنتج]]=AF6,Table212136[[#Totals],[القيمة]]*1.25,IF(Table1134[[#This Row],[المنتج]]=AF7,Table2121367[[#Totals],[القيمة]]*1.25,IF(Table1134[[#This Row],[المنتج]]=AF8,Table212136714[[#Totals],[القيمة]]*1.25,0))))))))</f>
        <v>87893.134375000009</v>
      </c>
      <c r="H3" s="1092"/>
      <c r="K3" s="633">
        <f>Sheet2!B14</f>
        <v>252000</v>
      </c>
      <c r="AF3" s="361" t="s">
        <v>447</v>
      </c>
      <c r="AG3" s="361">
        <v>400</v>
      </c>
      <c r="AH3" s="361">
        <v>400</v>
      </c>
    </row>
    <row r="4">
      <c r="AF4" s="361" t="s">
        <v>448</v>
      </c>
      <c r="AG4" s="361">
        <v>450</v>
      </c>
      <c r="AH4" s="361">
        <v>450</v>
      </c>
    </row>
    <row r="5">
      <c r="A5" s="634"/>
      <c r="B5" s="634"/>
      <c r="C5" s="634"/>
      <c r="D5" s="634"/>
      <c r="E5" s="634"/>
      <c r="F5" s="635"/>
      <c r="G5" s="635"/>
      <c r="H5" s="635"/>
      <c r="I5" s="635"/>
      <c r="J5" s="635"/>
      <c r="K5" s="635"/>
      <c r="L5" s="635"/>
      <c r="M5" s="635"/>
      <c r="N5" s="635"/>
      <c r="O5" s="635"/>
      <c r="P5" s="635"/>
      <c r="Q5" s="635"/>
      <c r="R5" s="635"/>
      <c r="S5" s="635"/>
      <c r="T5" s="635"/>
      <c r="U5" s="635"/>
      <c r="V5" s="635"/>
      <c r="W5" s="635"/>
      <c r="X5" s="635"/>
      <c r="AF5" s="361" t="s">
        <v>449</v>
      </c>
      <c r="AG5" s="361">
        <v>500</v>
      </c>
      <c r="AH5" s="361">
        <v>500</v>
      </c>
    </row>
    <row r="6" ht="14.4" customHeight="1">
      <c r="B6" s="361" t="s">
        <v>450</v>
      </c>
      <c r="C6" s="361" t="s">
        <v>451</v>
      </c>
      <c r="D6" s="361" t="s">
        <v>452</v>
      </c>
      <c r="E6" s="361" t="s">
        <v>453</v>
      </c>
      <c r="F6" s="361" t="s">
        <v>454</v>
      </c>
      <c r="H6" s="1093" t="s">
        <v>440</v>
      </c>
      <c r="I6" s="1093"/>
      <c r="J6" s="1093"/>
      <c r="K6" s="1093"/>
      <c r="L6" s="1093" t="s">
        <v>446</v>
      </c>
      <c r="M6" s="1093"/>
      <c r="R6" s="635"/>
      <c r="S6" s="361" t="s">
        <v>455</v>
      </c>
      <c r="T6" s="361">
        <f>IF(Table1134[العرض]&lt;=600,ROUND((Table1134[العرض]/100),0),"NO")</f>
        <v>4</v>
      </c>
      <c r="V6" s="1077" t="s">
        <v>448</v>
      </c>
      <c r="W6" s="1077"/>
      <c r="X6" s="635"/>
      <c r="AF6" s="361" t="s">
        <v>456</v>
      </c>
      <c r="AG6" s="361">
        <v>550</v>
      </c>
      <c r="AH6" s="361">
        <v>550</v>
      </c>
    </row>
    <row r="7" ht="14.4" customHeight="1">
      <c r="B7" s="361" t="s">
        <v>457</v>
      </c>
      <c r="C7" s="361">
        <v>4</v>
      </c>
      <c r="D7" s="361">
        <v>3</v>
      </c>
      <c r="E7" s="361">
        <v>4.8</v>
      </c>
      <c r="F7" s="361">
        <f>IF((Table1134[لون الشاسية]=AI1),(Table2135[[#This Row],[العدد]]*Table2135[[#This Row],[الطول]]*Table2135[[#This Row],[الوزن المتري]]*((K3/1000)+25)),IF((Table1134[لون الشاسية]=AI2),(Table2135[[#This Row],[العدد]]*Table2135[[#This Row],[الطول]]*Table2135[[#This Row],[الوزن المتري]]*((K3/1000)+65)),0))</f>
        <v>15955.199999999999</v>
      </c>
      <c r="H7" s="1093"/>
      <c r="I7" s="1093"/>
      <c r="J7" s="1093"/>
      <c r="K7" s="1093"/>
      <c r="L7" s="1093"/>
      <c r="M7" s="1093"/>
      <c r="R7" s="635"/>
      <c r="S7" s="361" t="s">
        <v>458</v>
      </c>
      <c r="T7" s="361">
        <f>IF(Table1134[الامتداد]&lt;=600,ROUND((Table1134[الامتداد]/100),0),"NO")</f>
        <v>4</v>
      </c>
      <c r="V7" s="1077"/>
      <c r="W7" s="1077"/>
      <c r="X7" s="635"/>
      <c r="AF7" s="361" t="s">
        <v>459</v>
      </c>
      <c r="AG7" s="361">
        <v>600</v>
      </c>
      <c r="AH7" s="361">
        <v>600</v>
      </c>
    </row>
    <row r="8" ht="14.4" customHeight="1">
      <c r="B8" s="361" t="s">
        <v>460</v>
      </c>
      <c r="C8" s="361">
        <v>4</v>
      </c>
      <c r="E8" s="361">
        <f>Sheet2!B60</f>
        <v>600</v>
      </c>
      <c r="F8" s="361">
        <f>Table2135[[#This Row],[العدد]]*Table2135[[#This Row],[الوزن المتري]]</f>
        <v>2400</v>
      </c>
      <c r="H8" s="1093"/>
      <c r="I8" s="1093"/>
      <c r="J8" s="1093"/>
      <c r="K8" s="1093"/>
      <c r="L8" s="1093"/>
      <c r="M8" s="1093"/>
      <c r="P8" s="361">
        <f>P13*K24*I24*330</f>
        <v>53130</v>
      </c>
      <c r="R8" s="635"/>
      <c r="S8" s="361" t="s">
        <v>461</v>
      </c>
      <c r="T8" s="361">
        <f>IF(Table1134[العرض]&lt;=Table1134[الامتداد],T7*T6,"NO")</f>
        <v>16</v>
      </c>
      <c r="X8" s="635"/>
      <c r="AF8" s="361" t="s">
        <v>462</v>
      </c>
      <c r="AG8" s="361">
        <v>650</v>
      </c>
      <c r="AH8" s="361">
        <v>650</v>
      </c>
    </row>
    <row r="9" ht="14.4" customHeight="1">
      <c r="B9" s="361" t="s">
        <v>463</v>
      </c>
      <c r="C9" s="361">
        <v>4</v>
      </c>
      <c r="E9" s="361">
        <f>Sheet2!B62</f>
        <v>500</v>
      </c>
      <c r="F9" s="361">
        <f>Table2135[[#This Row],[الوزن المتري]]*Table2135[[#This Row],[العدد]]</f>
        <v>2000</v>
      </c>
      <c r="H9" s="1093"/>
      <c r="I9" s="1093"/>
      <c r="J9" s="1093"/>
      <c r="K9" s="1093"/>
      <c r="L9" s="1093"/>
      <c r="M9" s="1093"/>
      <c r="R9" s="635"/>
      <c r="S9" s="361" t="s">
        <v>464</v>
      </c>
      <c r="T9" s="361">
        <f>(Table1134[العرض]-((T14*5)+20))/T6</f>
        <v>78.75</v>
      </c>
      <c r="U9" s="361" t="s">
        <v>375</v>
      </c>
      <c r="V9" s="361">
        <f>(Table1134[الامتداد]-((T15*5)+20))/T7</f>
        <v>91.25</v>
      </c>
      <c r="X9" s="635"/>
      <c r="AG9" s="361">
        <v>700</v>
      </c>
      <c r="AH9" s="361">
        <v>700</v>
      </c>
    </row>
    <row r="10" ht="14.4" customHeight="1">
      <c r="B10" s="361" t="s">
        <v>465</v>
      </c>
      <c r="C10" s="361">
        <v>1</v>
      </c>
      <c r="F10" s="636">
        <f>Table80102[[#Totals],[price]]</f>
        <v>120289.09999999999</v>
      </c>
      <c r="H10" s="1093"/>
      <c r="I10" s="1093"/>
      <c r="J10" s="1093"/>
      <c r="K10" s="1093"/>
      <c r="L10" s="1093"/>
      <c r="M10" s="1093"/>
      <c r="R10" s="635"/>
      <c r="S10" s="361" t="s">
        <v>466</v>
      </c>
      <c r="T10" s="361">
        <f>ROUND((V9+3)/13,0)</f>
        <v>7</v>
      </c>
      <c r="X10" s="635"/>
    </row>
    <row r="11" ht="14.4" customHeight="1">
      <c r="B11" s="527" t="s">
        <v>467</v>
      </c>
      <c r="F11" s="361">
        <f>SUM(F7:F10)*0.1</f>
        <v>14064.43</v>
      </c>
      <c r="H11" s="1093"/>
      <c r="I11" s="1093"/>
      <c r="J11" s="1093"/>
      <c r="K11" s="1093"/>
      <c r="L11" s="532" t="s">
        <v>164</v>
      </c>
      <c r="M11" s="533">
        <f>Table1134[الامتداد]</f>
        <v>400</v>
      </c>
      <c r="N11" s="532" t="s">
        <v>125</v>
      </c>
      <c r="O11" s="533">
        <f>Table1134[العرض]</f>
        <v>350</v>
      </c>
      <c r="P11" s="532" t="s">
        <v>295</v>
      </c>
      <c r="Q11" s="533" t="str">
        <f>Table1134[لون اللوفرز]</f>
        <v>سادة</v>
      </c>
      <c r="R11" s="635"/>
      <c r="S11" s="361" t="s">
        <v>450</v>
      </c>
      <c r="T11" s="361" t="s">
        <v>451</v>
      </c>
      <c r="U11" s="361" t="s">
        <v>452</v>
      </c>
      <c r="V11" s="361" t="s">
        <v>453</v>
      </c>
      <c r="W11" s="361" t="s">
        <v>454</v>
      </c>
      <c r="X11" s="635"/>
    </row>
    <row r="12" ht="14.4" customHeight="1">
      <c r="B12" s="361" t="s">
        <v>54</v>
      </c>
      <c r="F12" s="637">
        <f>SUBTOTAL(109,Table2135[القيمة])</f>
        <v>154708.72999999998</v>
      </c>
      <c r="H12" s="1093"/>
      <c r="I12" s="1093"/>
      <c r="J12" s="1093"/>
      <c r="K12" s="1093"/>
      <c r="L12" s="193" t="s">
        <v>9</v>
      </c>
      <c r="M12" s="194" t="s">
        <v>28</v>
      </c>
      <c r="N12" s="194" t="s">
        <v>297</v>
      </c>
      <c r="O12" s="194" t="s">
        <v>30</v>
      </c>
      <c r="P12" s="194" t="s">
        <v>298</v>
      </c>
      <c r="Q12" s="194" t="s">
        <v>299</v>
      </c>
      <c r="R12" s="635"/>
      <c r="S12" s="361" t="s">
        <v>457</v>
      </c>
      <c r="T12" s="361">
        <v>4</v>
      </c>
      <c r="U12" s="361">
        <v>3</v>
      </c>
      <c r="V12" s="361">
        <v>4.8</v>
      </c>
      <c r="W12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16243.199999999999</v>
      </c>
      <c r="X12" s="635"/>
    </row>
    <row r="13" ht="18" customHeight="1">
      <c r="B13" s="532" t="s">
        <v>164</v>
      </c>
      <c r="C13" s="533">
        <f>Table1134[الامتداد]</f>
        <v>400</v>
      </c>
      <c r="D13" s="532" t="s">
        <v>125</v>
      </c>
      <c r="E13" s="533">
        <f>Table1134[العرض]</f>
        <v>350</v>
      </c>
      <c r="F13" s="532" t="s">
        <v>295</v>
      </c>
      <c r="G13" s="533" t="str">
        <f>Table1134[لون اللوفرز]</f>
        <v>سادة</v>
      </c>
      <c r="H13" s="534"/>
      <c r="I13" s="534"/>
      <c r="L13" s="193" t="s">
        <v>302</v>
      </c>
      <c r="M13" s="196">
        <f>IF(AND(Table1134[العرض]&gt;=350,Table1134[الامتداد]&gt;=350,Table1134[الامتداد]&lt;=600,Table1134[الامتداد]&gt;=Table1134[العرض],Table1134[العرض]&lt;=400),ROUNDUP((12+((ROUNDUP((M11-210),18))/18)),0),"NO")</f>
        <v>23</v>
      </c>
      <c r="N13" s="197">
        <f>O11-16.5</f>
        <v>333.5</v>
      </c>
      <c r="O13" s="194" t="s">
        <v>303</v>
      </c>
      <c r="P13" s="194">
        <v>2</v>
      </c>
      <c r="Q13" s="194">
        <f>IF(($Q$11="سادة"),(K24*Table80102113140[[#This Row],[wt/m]]*I24*($K$3+25000)/1000),((K24*Table80102113140[[#This Row],[wt/m]]*I24*($K$3+70000)/1000)))</f>
        <v>44597</v>
      </c>
      <c r="R13" s="635"/>
      <c r="S13" s="361" t="s">
        <v>468</v>
      </c>
      <c r="T13" s="361">
        <v>1</v>
      </c>
      <c r="U13" s="361">
        <f>(Table1134[العرض]+Table1134[الامتداد])/50</f>
        <v>15</v>
      </c>
      <c r="V13" s="361">
        <v>3.63</v>
      </c>
      <c r="W13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15354.9</v>
      </c>
      <c r="X13" s="635"/>
    </row>
    <row r="14" ht="18" customHeight="1">
      <c r="B14" s="193" t="s">
        <v>9</v>
      </c>
      <c r="C14" s="194" t="s">
        <v>28</v>
      </c>
      <c r="D14" s="194" t="s">
        <v>297</v>
      </c>
      <c r="E14" s="194" t="s">
        <v>30</v>
      </c>
      <c r="F14" s="194" t="s">
        <v>298</v>
      </c>
      <c r="G14" s="194" t="s">
        <v>299</v>
      </c>
      <c r="H14" s="527"/>
      <c r="I14" s="60" t="s">
        <v>300</v>
      </c>
      <c r="J14" s="60"/>
      <c r="K14" s="60" t="s">
        <v>301</v>
      </c>
      <c r="L14" s="193" t="s">
        <v>469</v>
      </c>
      <c r="M14" s="194"/>
      <c r="N14" s="196">
        <f>O11</f>
        <v>350</v>
      </c>
      <c r="O14" s="194" t="s">
        <v>303</v>
      </c>
      <c r="P14" s="194">
        <v>1.7</v>
      </c>
      <c r="Q14" s="194">
        <f>IF(($Q$11="سادة"),(K25*Table80102113140[[#This Row],[wt/m]]*I25*($K$3+25000)/1000),((K25*Table80102113140[[#This Row],[wt/m]]*I25*($K$3+65000)/1000)))</f>
        <v>0</v>
      </c>
      <c r="R14" s="635"/>
      <c r="S14" s="361" t="s">
        <v>470</v>
      </c>
      <c r="T14" s="361">
        <f>T6-1</f>
        <v>3</v>
      </c>
      <c r="U14" s="361">
        <f>Table1134[الامتداد]/100</f>
        <v>4</v>
      </c>
      <c r="V14" s="361">
        <v>2.85</v>
      </c>
      <c r="W14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9644.4000000000015</v>
      </c>
      <c r="X14" s="635"/>
    </row>
    <row r="15" ht="18" customHeight="1">
      <c r="B15" s="193" t="s">
        <v>302</v>
      </c>
      <c r="C15" s="196">
        <f>ROUNDUP((12+((ROUNDUP((C13-210),15))/15)),0)</f>
        <v>25</v>
      </c>
      <c r="D15" s="197">
        <f>IF(AND(E13-16.5&lt;384,E13-16.5&gt;300),E13-16.5,"NO")</f>
        <v>333.5</v>
      </c>
      <c r="E15" s="194" t="s">
        <v>303</v>
      </c>
      <c r="F15" s="194">
        <v>2.3</v>
      </c>
      <c r="G15" s="194">
        <f>IF(($G$13="سادة"),(K15*I15*F15*($K$3+25000)/1000),(K15*I15*F15*($K$3+60000)/1000))</f>
        <v>55746.249999999993</v>
      </c>
      <c r="H15" s="527"/>
      <c r="I15" s="60">
        <f>IF(AND((D15&gt;=100),(D15&lt;250)),5,IF(AND((D15&gt;=250),(D15&lt;=350)),7,IF(AND((D15&gt;350),(D15&lt;401)),4,IF(AND((D15&gt;=401),(D15&lt;451)),4.5,IF(AND((D15&gt;=451),(D15&lt;501)),5,IF(AND((D15&gt;=501),(D15&lt;551)),5.5,IF(AND((D15&gt;=551),(D15&lt;601)),6,0)))))))</f>
        <v>7</v>
      </c>
      <c r="J15" s="279">
        <f ref="J15:J20" t="shared" si="0">(I15*100)/D15</f>
        <v>2.098950524737631</v>
      </c>
      <c r="K15" s="540">
        <f ref="K15:K20" t="shared" si="1">C15/(ROUNDDOWN(J15,0))</f>
        <v>12.5</v>
      </c>
      <c r="L15" s="193" t="s">
        <v>471</v>
      </c>
      <c r="M15" s="194"/>
      <c r="N15" s="196">
        <f>M11</f>
        <v>400</v>
      </c>
      <c r="O15" s="194" t="s">
        <v>303</v>
      </c>
      <c r="P15" s="194">
        <v>1.7</v>
      </c>
      <c r="Q15" s="194">
        <f>IF(($Q$11="سادة"),(K26*Table80102113140[[#This Row],[wt/m]]*I26*($K$3+25000)/1000),((K26*Table80102113140[[#This Row],[wt/m]]*I26*($K$3+65000)/1000)))</f>
        <v>0</v>
      </c>
      <c r="R15" s="635"/>
      <c r="S15" s="361" t="s">
        <v>472</v>
      </c>
      <c r="T15" s="361">
        <f>T7-1</f>
        <v>3</v>
      </c>
      <c r="U15" s="361">
        <f>Table1134[العرض]/100</f>
        <v>3.5</v>
      </c>
      <c r="V15" s="361">
        <v>2.85</v>
      </c>
      <c r="W15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8438.85</v>
      </c>
      <c r="X15" s="635"/>
    </row>
    <row r="16" ht="18" customHeight="1">
      <c r="B16" s="193" t="s">
        <v>304</v>
      </c>
      <c r="C16" s="194">
        <v>2</v>
      </c>
      <c r="D16" s="196">
        <f>E13</f>
        <v>350</v>
      </c>
      <c r="E16" s="194" t="s">
        <v>303</v>
      </c>
      <c r="F16" s="194">
        <v>3.8</v>
      </c>
      <c r="G16" s="194">
        <f ref="G16:G20" t="shared" si="2">IF(($G$13="سادة"),(K16*I16*F16*($K$3+25000)/1000),(K16*I16*F16*($K$3+60000)/1000))</f>
        <v>7368.1999999999989</v>
      </c>
      <c r="H16" s="541"/>
      <c r="I16" s="60">
        <f>IF(AND((D16&gt;=100),(D16&lt;250)),5,IF(AND((D16&gt;=250),(D16&lt;=350)),7,IF(AND((D16&gt;350),(D16&lt;401)),4,IF(AND((D16&gt;=401),(D16&lt;451)),4.5,IF(AND((D16&gt;=451),(D16&lt;501)),5,IF(AND((D16&gt;=501),(D16&lt;551)),5.5,IF(AND((D16&gt;=551),(D16&lt;601)),6,0)))))))</f>
        <v>7</v>
      </c>
      <c r="J16" s="279">
        <f t="shared" si="0"/>
        <v>2</v>
      </c>
      <c r="K16" s="540">
        <f t="shared" si="1"/>
        <v>1</v>
      </c>
      <c r="L16" s="193" t="s">
        <v>310</v>
      </c>
      <c r="M16" s="194">
        <v>1</v>
      </c>
      <c r="N16" s="194">
        <f>(15.6*(M13-1)+4)</f>
        <v>347.2</v>
      </c>
      <c r="O16" s="194" t="s">
        <v>303</v>
      </c>
      <c r="P16" s="194">
        <v>600</v>
      </c>
      <c r="Q16" s="194">
        <f>P16*M16</f>
        <v>600</v>
      </c>
      <c r="R16" s="635"/>
      <c r="S16" s="361" t="s">
        <v>473</v>
      </c>
      <c r="T16" s="361">
        <f>T8*2</f>
        <v>32</v>
      </c>
      <c r="U16" s="361">
        <f>MROUND((T9+V9)/200,1)</f>
        <v>1</v>
      </c>
      <c r="V16" s="361">
        <v>0.9</v>
      </c>
      <c r="W16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8121.6</v>
      </c>
      <c r="X16" s="635"/>
    </row>
    <row r="17" ht="18" customHeight="1">
      <c r="B17" s="193" t="s">
        <v>306</v>
      </c>
      <c r="C17" s="194">
        <v>2</v>
      </c>
      <c r="D17" s="196">
        <f>C13</f>
        <v>400</v>
      </c>
      <c r="E17" s="194" t="s">
        <v>303</v>
      </c>
      <c r="F17" s="194">
        <v>3.8</v>
      </c>
      <c r="G17" s="194">
        <f t="shared" si="2"/>
        <v>8420.8</v>
      </c>
      <c r="H17" s="541"/>
      <c r="I17" s="60">
        <f ref="I17:I20" t="shared" si="3">IF(AND((D17&gt;=100),(D17&lt;250)),5,IF(AND((D17&gt;=250),(D17&lt;=350)),7,IF(AND((D17&gt;350),(D17&lt;401)),4,IF(AND((D17&gt;=401),(D17&lt;451)),4.5,IF(AND((D17&gt;=451),(D17&lt;501)),5,IF(AND((D17&gt;=501),(D17&lt;551)),5.5,IF(AND((D17&gt;=551),(D17&lt;601)),6,0)))))))</f>
        <v>4</v>
      </c>
      <c r="J17" s="279">
        <f t="shared" si="0"/>
        <v>1</v>
      </c>
      <c r="K17" s="540">
        <f t="shared" si="1"/>
        <v>2</v>
      </c>
      <c r="L17" s="193" t="s">
        <v>314</v>
      </c>
      <c r="M17" s="194"/>
      <c r="N17" s="194">
        <f>M13*2</f>
        <v>46</v>
      </c>
      <c r="O17" s="194" t="s">
        <v>28</v>
      </c>
      <c r="P17" s="194">
        <v>20</v>
      </c>
      <c r="Q17" s="194">
        <f>P17*N17</f>
        <v>920</v>
      </c>
      <c r="R17" s="635"/>
      <c r="S17" s="361" t="s">
        <v>474</v>
      </c>
      <c r="T17" s="361">
        <f>T10*T8</f>
        <v>112</v>
      </c>
      <c r="U17" s="361">
        <f>MROUND((T9+V9)/200,1)</f>
        <v>1</v>
      </c>
      <c r="V17" s="361">
        <v>0.625</v>
      </c>
      <c r="W17" s="361">
        <f>IF((Table1134[لون اللوفرز]=$AI$1),(Table212[[#This Row],[العدد]]*Table212[[#This Row],[الطول]]*Table212[[#This Row],[الوزن المتري]]*(($K$3/1000)+30)),IF((Table1134[لون اللوفرز]=$AI$2),(Table212[[#This Row],[العدد]]*Table212[[#This Row],[الطول]]*Table212[[#This Row],[الوزن المتري]]*(($K$3/1000)+70)),0))</f>
        <v>19740</v>
      </c>
      <c r="X17" s="635"/>
    </row>
    <row r="18" ht="18" customHeight="1">
      <c r="B18" s="193" t="s">
        <v>308</v>
      </c>
      <c r="C18" s="194">
        <v>2</v>
      </c>
      <c r="D18" s="196">
        <f>E13</f>
        <v>350</v>
      </c>
      <c r="E18" s="194" t="s">
        <v>303</v>
      </c>
      <c r="F18" s="194">
        <v>1.7</v>
      </c>
      <c r="G18" s="194">
        <f t="shared" si="2"/>
        <v>3296.3</v>
      </c>
      <c r="H18" s="541"/>
      <c r="I18" s="60">
        <f t="shared" si="3"/>
        <v>7</v>
      </c>
      <c r="J18" s="279">
        <f t="shared" si="0"/>
        <v>2</v>
      </c>
      <c r="K18" s="540">
        <f t="shared" si="1"/>
        <v>1</v>
      </c>
      <c r="L18" s="193" t="s">
        <v>317</v>
      </c>
      <c r="M18" s="194"/>
      <c r="N18" s="194">
        <f>M13*2</f>
        <v>46</v>
      </c>
      <c r="O18" s="194" t="s">
        <v>28</v>
      </c>
      <c r="P18" s="194">
        <v>18</v>
      </c>
      <c r="Q18" s="194">
        <f>P18*N18</f>
        <v>828</v>
      </c>
      <c r="R18" s="635"/>
      <c r="S18" s="361" t="s">
        <v>460</v>
      </c>
      <c r="T18" s="361">
        <v>4</v>
      </c>
      <c r="V18" s="361">
        <f>Sheet2!B60</f>
        <v>600</v>
      </c>
      <c r="W18" s="361">
        <f>Table212[[#This Row],[العدد]]*Table212[[#This Row],[الوزن المتري]]</f>
        <v>2400</v>
      </c>
      <c r="X18" s="635"/>
    </row>
    <row r="19" ht="18" customHeight="1">
      <c r="B19" s="193" t="s">
        <v>312</v>
      </c>
      <c r="C19" s="194">
        <v>2</v>
      </c>
      <c r="D19" s="196">
        <f>IF(AND(C13&lt;601,C13&gt;349,E13&lt;=C13),C13,"NO")</f>
        <v>400</v>
      </c>
      <c r="E19" s="194" t="s">
        <v>303</v>
      </c>
      <c r="F19" s="194">
        <v>1.7</v>
      </c>
      <c r="G19" s="194">
        <f t="shared" si="2"/>
        <v>3767.2</v>
      </c>
      <c r="H19" s="541"/>
      <c r="I19" s="60">
        <f t="shared" si="3"/>
        <v>4</v>
      </c>
      <c r="J19" s="279">
        <f t="shared" si="0"/>
        <v>1</v>
      </c>
      <c r="K19" s="540">
        <f t="shared" si="1"/>
        <v>2</v>
      </c>
      <c r="L19" s="193" t="s">
        <v>318</v>
      </c>
      <c r="M19" s="194">
        <v>1</v>
      </c>
      <c r="N19" s="196">
        <v>100</v>
      </c>
      <c r="O19" s="194" t="s">
        <v>303</v>
      </c>
      <c r="P19" s="194">
        <v>250</v>
      </c>
      <c r="Q19" s="194">
        <f>Table80102113140[[#This Row],[wt/m]]*Table80102113140[[#This Row],[عدد]]</f>
        <v>250</v>
      </c>
      <c r="R19" s="635"/>
      <c r="S19" s="361" t="s">
        <v>475</v>
      </c>
      <c r="T19" s="361">
        <v>4</v>
      </c>
      <c r="V19" s="361">
        <f>Sheet2!B61</f>
        <v>900</v>
      </c>
      <c r="W19" s="361">
        <f>Table212[[#This Row],[الوزن المتري]]*Table212[[#This Row],[العدد]]</f>
        <v>3600</v>
      </c>
      <c r="X19" s="635"/>
    </row>
    <row r="20" ht="18" customHeight="1">
      <c r="B20" s="193" t="s">
        <v>315</v>
      </c>
      <c r="C20" s="194">
        <v>2</v>
      </c>
      <c r="D20" s="194">
        <f>D15</f>
        <v>333.5</v>
      </c>
      <c r="E20" s="194" t="s">
        <v>303</v>
      </c>
      <c r="F20" s="194">
        <v>0.65</v>
      </c>
      <c r="G20" s="194">
        <f t="shared" si="2"/>
        <v>1260.35</v>
      </c>
      <c r="H20" s="541"/>
      <c r="I20" s="60">
        <f t="shared" si="3"/>
        <v>7</v>
      </c>
      <c r="J20" s="279">
        <f t="shared" si="0"/>
        <v>2.098950524737631</v>
      </c>
      <c r="K20" s="540">
        <f t="shared" si="1"/>
        <v>1</v>
      </c>
      <c r="L20" s="193" t="s">
        <v>323</v>
      </c>
      <c r="M20" s="194"/>
      <c r="N20" s="194">
        <v>100</v>
      </c>
      <c r="O20" s="194" t="s">
        <v>324</v>
      </c>
      <c r="P20" s="194">
        <v>1</v>
      </c>
      <c r="Q20" s="194">
        <f>N20*P20</f>
        <v>100</v>
      </c>
      <c r="R20" s="635"/>
      <c r="S20" s="361" t="s">
        <v>476</v>
      </c>
      <c r="T20" s="361">
        <f>(T8*4)-4</f>
        <v>60</v>
      </c>
      <c r="V20" s="361">
        <v>60</v>
      </c>
      <c r="W20" s="361">
        <f>Table212[[#This Row],[الوزن المتري]]*Table212[[#This Row],[العدد]]</f>
        <v>3600</v>
      </c>
      <c r="X20" s="635"/>
    </row>
    <row r="21" ht="18" customHeight="1">
      <c r="B21" s="193" t="s">
        <v>310</v>
      </c>
      <c r="C21" s="194">
        <v>2</v>
      </c>
      <c r="D21" s="194">
        <f>(15.6*(C15-1)+4)</f>
        <v>378.4</v>
      </c>
      <c r="E21" s="194" t="s">
        <v>303</v>
      </c>
      <c r="F21" s="194">
        <v>1000</v>
      </c>
      <c r="G21" s="194">
        <f>F21*C21</f>
        <v>2000</v>
      </c>
      <c r="H21" s="541"/>
      <c r="I21" s="62"/>
      <c r="J21" s="527"/>
      <c r="K21" s="527"/>
      <c r="L21" s="193" t="s">
        <v>321</v>
      </c>
      <c r="M21" s="194"/>
      <c r="N21" s="194">
        <f>M13*2</f>
        <v>46</v>
      </c>
      <c r="O21" s="194" t="s">
        <v>28</v>
      </c>
      <c r="P21" s="194">
        <v>120</v>
      </c>
      <c r="Q21" s="194">
        <f>N21*P21</f>
        <v>5520</v>
      </c>
      <c r="R21" s="635"/>
      <c r="S21" s="361" t="s">
        <v>477</v>
      </c>
      <c r="T21" s="361">
        <v>4</v>
      </c>
      <c r="V21" s="361">
        <v>300</v>
      </c>
      <c r="W21" s="361">
        <f>Table212[[#This Row],[الوزن المتري]]*Table212[[#This Row],[العدد]]</f>
        <v>1200</v>
      </c>
      <c r="X21" s="635"/>
    </row>
    <row r="22" ht="18" customHeight="1">
      <c r="B22" s="193" t="s">
        <v>314</v>
      </c>
      <c r="C22" s="194"/>
      <c r="D22" s="194">
        <f>C15*2</f>
        <v>50</v>
      </c>
      <c r="E22" s="194" t="s">
        <v>28</v>
      </c>
      <c r="F22" s="194">
        <v>20</v>
      </c>
      <c r="G22" s="194">
        <f>F22*D22</f>
        <v>1000</v>
      </c>
      <c r="H22" s="541"/>
      <c r="I22" s="62"/>
      <c r="J22" s="527"/>
      <c r="K22" s="527"/>
      <c r="L22" s="193" t="s">
        <v>322</v>
      </c>
      <c r="M22" s="194"/>
      <c r="N22" s="194">
        <f>M13*2</f>
        <v>46</v>
      </c>
      <c r="O22" s="194" t="s">
        <v>28</v>
      </c>
      <c r="P22" s="194">
        <v>120</v>
      </c>
      <c r="Q22" s="194">
        <f>N22*P22</f>
        <v>5520</v>
      </c>
      <c r="R22" s="635"/>
      <c r="S22" s="361" t="s">
        <v>478</v>
      </c>
      <c r="T22" s="361">
        <v>4</v>
      </c>
      <c r="V22" s="638">
        <v>350</v>
      </c>
      <c r="W22" s="361">
        <f>Table212[[#This Row],[الوزن المتري]]*Table212[[#This Row],[العدد]]</f>
        <v>1400</v>
      </c>
      <c r="X22" s="635"/>
    </row>
    <row r="23" ht="18" customHeight="1">
      <c r="B23" s="193" t="s">
        <v>317</v>
      </c>
      <c r="C23" s="194"/>
      <c r="D23" s="194">
        <f>C15*2</f>
        <v>50</v>
      </c>
      <c r="E23" s="194" t="s">
        <v>28</v>
      </c>
      <c r="F23" s="194">
        <v>18</v>
      </c>
      <c r="G23" s="194">
        <f>F23*D23</f>
        <v>900</v>
      </c>
      <c r="H23" s="541"/>
      <c r="I23" s="60" t="s">
        <v>300</v>
      </c>
      <c r="J23" s="60"/>
      <c r="K23" s="60" t="s">
        <v>301</v>
      </c>
      <c r="L23" s="193" t="s">
        <v>189</v>
      </c>
      <c r="M23" s="194" t="s">
        <v>28</v>
      </c>
      <c r="N23" s="194">
        <v>1</v>
      </c>
      <c r="O23" s="194" t="s">
        <v>28</v>
      </c>
      <c r="P23" s="194">
        <v>11000</v>
      </c>
      <c r="Q23" s="194">
        <f>P23*N23</f>
        <v>11000</v>
      </c>
      <c r="R23" s="635"/>
      <c r="S23" s="527" t="s">
        <v>479</v>
      </c>
      <c r="T23" s="527">
        <v>1</v>
      </c>
      <c r="U23" s="639" t="s">
        <v>480</v>
      </c>
      <c r="V23" s="527">
        <v>1425</v>
      </c>
      <c r="W23" s="361">
        <f>Table212[[#This Row],[الوزن المتري]]*Table212[[#This Row],[العدد]]</f>
        <v>1425</v>
      </c>
      <c r="X23" s="635"/>
    </row>
    <row r="24" ht="18" customHeight="1">
      <c r="B24" s="193"/>
      <c r="C24" s="194"/>
      <c r="D24" s="196"/>
      <c r="E24" s="194"/>
      <c r="F24" s="194"/>
      <c r="G24" s="194"/>
      <c r="H24" s="541"/>
      <c r="I24" s="60">
        <f>IF(AND((N13&gt;=300),(N13&lt;334)),7,IF(AND((N13&gt;=335),(N13&lt;384)),4,"NO"))</f>
        <v>7</v>
      </c>
      <c r="J24" s="640">
        <f>(I24*100)/N13</f>
        <v>2.098950524737631</v>
      </c>
      <c r="K24" s="540">
        <f>M13/(ROUNDDOWN(J24,0))</f>
        <v>11.5</v>
      </c>
      <c r="L24" s="193" t="s">
        <v>54</v>
      </c>
      <c r="M24" s="199">
        <f>(Table80102113140[[#Totals],[price]]*1.1)/(O11*M11/10000)</f>
        <v>5447.75</v>
      </c>
      <c r="N24" s="194"/>
      <c r="O24" s="194"/>
      <c r="P24" s="194"/>
      <c r="Q24" s="194">
        <f>SUBTOTAL(109,Table80102113140[price])</f>
        <v>69335</v>
      </c>
      <c r="R24" s="635"/>
      <c r="S24" s="361" t="s">
        <v>481</v>
      </c>
      <c r="T24" s="361">
        <v>1</v>
      </c>
      <c r="V24" s="638">
        <v>500</v>
      </c>
      <c r="W24" s="361">
        <f>Table212[[#This Row],[الوزن المتري]]*Table212[[#This Row],[العدد]]</f>
        <v>500</v>
      </c>
      <c r="X24" s="635"/>
    </row>
    <row r="25" ht="18" customHeight="1">
      <c r="B25" s="193" t="s">
        <v>323</v>
      </c>
      <c r="C25" s="194"/>
      <c r="D25" s="194">
        <v>4</v>
      </c>
      <c r="E25" s="194" t="s">
        <v>324</v>
      </c>
      <c r="F25" s="194">
        <v>250</v>
      </c>
      <c r="G25" s="194">
        <f>D25*F25</f>
        <v>1000</v>
      </c>
      <c r="H25" s="541"/>
      <c r="I25" s="60"/>
      <c r="J25" s="640"/>
      <c r="K25" s="540"/>
      <c r="L25" s="361" t="s">
        <v>450</v>
      </c>
      <c r="M25" s="361" t="s">
        <v>451</v>
      </c>
      <c r="N25" s="361" t="s">
        <v>452</v>
      </c>
      <c r="O25" s="361" t="s">
        <v>453</v>
      </c>
      <c r="P25" s="361" t="s">
        <v>454</v>
      </c>
      <c r="R25" s="635"/>
      <c r="S25" s="527" t="s">
        <v>467</v>
      </c>
      <c r="W25" s="361">
        <f>SUM(W12:W24)*0.15</f>
        <v>13750.1925</v>
      </c>
      <c r="X25" s="635"/>
    </row>
    <row r="26" ht="18" customHeight="1">
      <c r="B26" s="193" t="s">
        <v>325</v>
      </c>
      <c r="C26" s="194"/>
      <c r="D26" s="194">
        <v>8</v>
      </c>
      <c r="E26" s="194" t="s">
        <v>28</v>
      </c>
      <c r="F26" s="194">
        <v>300</v>
      </c>
      <c r="G26" s="194">
        <f>D26*F26</f>
        <v>2400</v>
      </c>
      <c r="H26" s="541"/>
      <c r="I26" s="60"/>
      <c r="J26" s="640"/>
      <c r="K26" s="540"/>
      <c r="L26" s="361" t="s">
        <v>457</v>
      </c>
      <c r="M26" s="361">
        <v>4</v>
      </c>
      <c r="N26" s="361">
        <v>3</v>
      </c>
      <c r="O26" s="361">
        <v>4.8</v>
      </c>
      <c r="P26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15955.199999999999</v>
      </c>
      <c r="R26" s="635"/>
      <c r="S26" s="361" t="s">
        <v>54</v>
      </c>
      <c r="W26" s="637">
        <f>SUBTOTAL(109,Table212[القيمة])</f>
        <v>105418.1425</v>
      </c>
      <c r="X26" s="635"/>
    </row>
    <row r="27" ht="18" customHeight="1">
      <c r="B27" s="193" t="s">
        <v>321</v>
      </c>
      <c r="C27" s="194"/>
      <c r="D27" s="194">
        <f>C15*2</f>
        <v>50</v>
      </c>
      <c r="E27" s="194" t="s">
        <v>28</v>
      </c>
      <c r="F27" s="194">
        <v>120</v>
      </c>
      <c r="G27" s="194">
        <f>D27*F27</f>
        <v>6000</v>
      </c>
      <c r="H27" s="541"/>
      <c r="I27" s="527"/>
      <c r="J27" s="527"/>
      <c r="K27" s="527"/>
      <c r="L27" s="361" t="s">
        <v>468</v>
      </c>
      <c r="M27" s="361">
        <v>1</v>
      </c>
      <c r="N27" s="361">
        <f>IF(AND(O11&gt;349,M11&gt;349,O11&lt;=M11),(O11+M11)/50,"NO")</f>
        <v>15</v>
      </c>
      <c r="O27" s="361">
        <v>3.63</v>
      </c>
      <c r="P27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15082.65</v>
      </c>
      <c r="R27" s="635"/>
      <c r="S27" s="1007"/>
      <c r="T27" s="1007"/>
      <c r="U27" s="1007"/>
      <c r="V27" s="1007"/>
      <c r="W27" s="1007"/>
      <c r="X27" s="635"/>
    </row>
    <row r="28" ht="18" customHeight="1">
      <c r="B28" s="193" t="s">
        <v>322</v>
      </c>
      <c r="C28" s="194"/>
      <c r="D28" s="194">
        <f>C15*2</f>
        <v>50</v>
      </c>
      <c r="E28" s="194" t="s">
        <v>28</v>
      </c>
      <c r="F28" s="194">
        <v>120</v>
      </c>
      <c r="G28" s="194">
        <f>D28*F28</f>
        <v>6000</v>
      </c>
      <c r="H28" s="541"/>
      <c r="I28" s="527"/>
      <c r="L28" s="361" t="s">
        <v>460</v>
      </c>
      <c r="M28" s="361">
        <v>4</v>
      </c>
      <c r="O28" s="361">
        <f>Sheet2!B60</f>
        <v>600</v>
      </c>
      <c r="P28" s="361">
        <f>Table211[[#This Row],[العدد]]*Table211[[#This Row],[الوزن المتري]]</f>
        <v>2400</v>
      </c>
      <c r="R28" s="635"/>
      <c r="V28" s="1077" t="s">
        <v>449</v>
      </c>
      <c r="W28" s="1077"/>
      <c r="X28" s="635"/>
    </row>
    <row r="29" ht="18" customHeight="1">
      <c r="B29" s="193" t="s">
        <v>326</v>
      </c>
      <c r="C29" s="194">
        <v>2</v>
      </c>
      <c r="D29" s="194"/>
      <c r="E29" s="194" t="s">
        <v>303</v>
      </c>
      <c r="F29" s="194">
        <v>1000</v>
      </c>
      <c r="G29" s="194">
        <f>C29*F29</f>
        <v>2000</v>
      </c>
      <c r="H29" s="541"/>
      <c r="I29" s="527"/>
      <c r="L29" s="361" t="s">
        <v>475</v>
      </c>
      <c r="M29" s="361">
        <v>4</v>
      </c>
      <c r="O29" s="361">
        <f>Sheet2!B61</f>
        <v>900</v>
      </c>
      <c r="P29" s="361">
        <f>Table211[[#This Row],[الوزن المتري]]*Table211[[#This Row],[العدد]]</f>
        <v>3600</v>
      </c>
      <c r="R29" s="635"/>
      <c r="V29" s="1077"/>
      <c r="W29" s="1077"/>
      <c r="X29" s="635"/>
    </row>
    <row r="30" ht="18" customHeight="1">
      <c r="B30" s="193" t="s">
        <v>328</v>
      </c>
      <c r="C30" s="194"/>
      <c r="D30" s="194">
        <f>ROUNDUP(((D15*C15)/100),0)</f>
        <v>84</v>
      </c>
      <c r="E30" s="194" t="s">
        <v>303</v>
      </c>
      <c r="F30" s="194">
        <v>10</v>
      </c>
      <c r="G30" s="194">
        <f>D30*F30</f>
        <v>840</v>
      </c>
      <c r="H30" s="541"/>
      <c r="I30" s="527"/>
      <c r="L30" s="361" t="s">
        <v>482</v>
      </c>
      <c r="M30" s="361">
        <v>1</v>
      </c>
      <c r="P30" s="636">
        <f>Table80102113140[[#Totals],[price]]</f>
        <v>69335</v>
      </c>
      <c r="R30" s="635"/>
      <c r="S30" s="361" t="s">
        <v>450</v>
      </c>
      <c r="T30" s="361" t="s">
        <v>451</v>
      </c>
      <c r="U30" s="361" t="s">
        <v>452</v>
      </c>
      <c r="V30" s="361" t="s">
        <v>453</v>
      </c>
      <c r="W30" s="361" t="s">
        <v>454</v>
      </c>
      <c r="X30" s="635"/>
    </row>
    <row r="31" ht="15.6" customHeight="1">
      <c r="B31" s="193" t="s">
        <v>483</v>
      </c>
      <c r="C31" s="194"/>
      <c r="D31" s="194">
        <f>D30</f>
        <v>84</v>
      </c>
      <c r="E31" s="194" t="s">
        <v>303</v>
      </c>
      <c r="F31" s="194">
        <v>20</v>
      </c>
      <c r="G31" s="194">
        <f>D31*F31</f>
        <v>1680</v>
      </c>
      <c r="H31" s="527"/>
      <c r="I31" s="527"/>
      <c r="L31" s="361" t="s">
        <v>478</v>
      </c>
      <c r="M31" s="361">
        <v>4</v>
      </c>
      <c r="O31" s="638">
        <v>350</v>
      </c>
      <c r="P31" s="361">
        <f>Table211[[#This Row],[الوزن المتري]]*Table211[[#This Row],[العدد]]</f>
        <v>1400</v>
      </c>
      <c r="R31" s="635"/>
      <c r="S31" s="361" t="s">
        <v>457</v>
      </c>
      <c r="T31" s="361">
        <v>4</v>
      </c>
      <c r="U31" s="361">
        <v>3</v>
      </c>
      <c r="V31" s="361">
        <v>4.8</v>
      </c>
      <c r="W31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15955.199999999999</v>
      </c>
      <c r="X31" s="635"/>
    </row>
    <row r="32" ht="15.6" customHeight="1">
      <c r="B32" s="193" t="s">
        <v>329</v>
      </c>
      <c r="C32" s="194" t="s">
        <v>330</v>
      </c>
      <c r="D32" s="194">
        <f>ROUNDUP((C15/3),0)</f>
        <v>9</v>
      </c>
      <c r="E32" s="194" t="s">
        <v>28</v>
      </c>
      <c r="F32" s="194">
        <v>250</v>
      </c>
      <c r="G32" s="194">
        <f>D32*F32</f>
        <v>2250</v>
      </c>
      <c r="H32" s="527"/>
      <c r="I32" s="527"/>
      <c r="L32" s="527" t="s">
        <v>479</v>
      </c>
      <c r="M32" s="527">
        <v>1</v>
      </c>
      <c r="N32" s="639" t="s">
        <v>480</v>
      </c>
      <c r="O32" s="527">
        <v>1425</v>
      </c>
      <c r="P32" s="361">
        <f>Table211[[#This Row],[الوزن المتري]]*Table211[[#This Row],[العدد]]</f>
        <v>1425</v>
      </c>
      <c r="R32" s="635"/>
      <c r="S32" s="361" t="s">
        <v>484</v>
      </c>
      <c r="T32" s="361">
        <v>2</v>
      </c>
      <c r="U32" s="361">
        <f>Table1134[الامتداد]/50</f>
        <v>8</v>
      </c>
      <c r="V32" s="361">
        <v>3.31</v>
      </c>
      <c r="W32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14669.92</v>
      </c>
      <c r="X32" s="635"/>
    </row>
    <row r="33" ht="15.6" customHeight="1">
      <c r="B33" s="193" t="s">
        <v>331</v>
      </c>
      <c r="C33" s="194" t="s">
        <v>332</v>
      </c>
      <c r="D33" s="194">
        <f>D32</f>
        <v>9</v>
      </c>
      <c r="E33" s="194" t="s">
        <v>28</v>
      </c>
      <c r="F33" s="194">
        <v>40</v>
      </c>
      <c r="G33" s="194">
        <f>F33*D33</f>
        <v>360</v>
      </c>
      <c r="H33" s="527"/>
      <c r="I33" s="527"/>
      <c r="L33" s="361" t="s">
        <v>481</v>
      </c>
      <c r="M33" s="361">
        <v>1</v>
      </c>
      <c r="O33" s="638">
        <v>500</v>
      </c>
      <c r="P33" s="361">
        <f>Table211[[#This Row],[الوزن المتري]]*Table211[[#This Row],[العدد]]</f>
        <v>500</v>
      </c>
      <c r="R33" s="635"/>
      <c r="S33" s="361" t="s">
        <v>485</v>
      </c>
      <c r="T33" s="361" t="str">
        <f>IF(AND(Table1134[العرض]=400,Table1134[الامتداد]&gt;399,Table1134[الامتداد]&lt;=500,Table1134[الامتداد]&gt;=Table1134[العرض]),Table1134[الامتداد]*1.2/10,"NO")</f>
        <v>NO</v>
      </c>
      <c r="U33" s="361">
        <v>4</v>
      </c>
      <c r="V33" s="361">
        <v>0.75</v>
      </c>
      <c r="W33" s="361" t="e">
        <f>IF((Table1134[لون اللوفرز]=$AI$1),(Table21213[[#This Row],[العدد]]*Table21213[[#This Row],[الطول]]*Table21213[[#This Row],[الوزن المتري]]*(($K$3/1000)+25)),IF((Table1134[لون اللوفرز]=$AI$2),(Table21213[[#This Row],[العدد]]*Table21213[[#This Row],[الطول]]*Table21213[[#This Row],[الوزن المتري]]*(($K$3/1000)+65)),0))</f>
        <v>#VALUE!</v>
      </c>
      <c r="X33" s="635"/>
    </row>
    <row r="34" ht="15.6" customHeight="1">
      <c r="B34" s="193" t="s">
        <v>333</v>
      </c>
      <c r="C34" s="194" t="s">
        <v>28</v>
      </c>
      <c r="D34" s="194">
        <v>2</v>
      </c>
      <c r="E34" s="194" t="s">
        <v>28</v>
      </c>
      <c r="F34" s="194">
        <v>1500</v>
      </c>
      <c r="G34" s="194">
        <f>F34*D34</f>
        <v>3000</v>
      </c>
      <c r="H34" s="527"/>
      <c r="I34" s="527"/>
      <c r="J34" s="527"/>
      <c r="K34" s="527"/>
      <c r="L34" s="527" t="s">
        <v>467</v>
      </c>
      <c r="M34" s="527"/>
      <c r="N34" s="527"/>
      <c r="O34" s="527"/>
      <c r="P34" s="527">
        <f>SUM(P26:P33)*0.1</f>
        <v>10969.785000000002</v>
      </c>
      <c r="R34" s="635"/>
      <c r="S34" s="361" t="s">
        <v>460</v>
      </c>
      <c r="T34" s="361">
        <v>4</v>
      </c>
      <c r="V34" s="361">
        <f>Sheet2!B60</f>
        <v>600</v>
      </c>
      <c r="W34" s="361">
        <f>Table21213[[#This Row],[العدد]]*Table21213[[#This Row],[الوزن المتري]]</f>
        <v>2400</v>
      </c>
      <c r="X34" s="635"/>
    </row>
    <row r="35" ht="15.6" customHeight="1">
      <c r="B35" s="193" t="s">
        <v>189</v>
      </c>
      <c r="C35" s="194" t="s">
        <v>28</v>
      </c>
      <c r="D35" s="194">
        <v>1</v>
      </c>
      <c r="E35" s="194" t="s">
        <v>28</v>
      </c>
      <c r="F35" s="194">
        <v>10800</v>
      </c>
      <c r="G35" s="194">
        <v>11000</v>
      </c>
      <c r="H35" s="527"/>
      <c r="I35" s="527"/>
      <c r="J35" s="527"/>
      <c r="K35" s="527"/>
      <c r="L35" s="361" t="s">
        <v>54</v>
      </c>
      <c r="P35" s="637">
        <f>SUBTOTAL(109,Table211[القيمة])</f>
        <v>120667.63500000001</v>
      </c>
      <c r="R35" s="635"/>
      <c r="S35" s="361" t="s">
        <v>486</v>
      </c>
      <c r="T35" s="361">
        <v>4</v>
      </c>
      <c r="V35" s="361">
        <v>800</v>
      </c>
      <c r="W35" s="361">
        <f>Table21213[[#This Row],[الوزن المتري]]*Table21213[[#This Row],[العدد]]</f>
        <v>3200</v>
      </c>
      <c r="X35" s="635"/>
    </row>
    <row r="36" ht="15.6" customHeight="1">
      <c r="B36" s="193" t="s">
        <v>54</v>
      </c>
      <c r="C36" s="199">
        <f>(Table80102[[#Totals],[price]]*1.1)/(E13*C13/10000)</f>
        <v>9451.28642857143</v>
      </c>
      <c r="D36" s="194"/>
      <c r="E36" s="194"/>
      <c r="F36" s="194"/>
      <c r="G36" s="194">
        <f>SUBTOTAL(109,Table80102[price])</f>
        <v>120289.09999999999</v>
      </c>
      <c r="R36" s="635"/>
      <c r="S36" s="361" t="s">
        <v>487</v>
      </c>
      <c r="T36" s="361">
        <v>2</v>
      </c>
      <c r="V36" s="361">
        <v>300</v>
      </c>
      <c r="W36" s="361">
        <f>Table21213[[#This Row],[الوزن المتري]]*Table21213[[#This Row],[العدد]]</f>
        <v>600</v>
      </c>
      <c r="X36" s="635"/>
    </row>
    <row r="37" ht="14.4" customHeight="1">
      <c r="A37" s="1007"/>
      <c r="B37" s="1007"/>
      <c r="C37" s="1007"/>
      <c r="D37" s="1007"/>
      <c r="E37" s="1007"/>
      <c r="F37" s="1007"/>
      <c r="G37" s="1007"/>
      <c r="H37" s="1007"/>
      <c r="I37" s="1007"/>
      <c r="J37" s="1007"/>
      <c r="K37" s="1007"/>
      <c r="L37" s="1007"/>
      <c r="M37" s="1007"/>
      <c r="N37" s="1007"/>
      <c r="O37" s="1007"/>
      <c r="P37" s="1007"/>
      <c r="Q37" s="1007"/>
      <c r="R37" s="635"/>
      <c r="S37" s="361" t="s">
        <v>488</v>
      </c>
      <c r="T37" s="361">
        <v>4</v>
      </c>
      <c r="V37" s="361">
        <v>300</v>
      </c>
      <c r="W37" s="361">
        <f>Table21213[[#This Row],[الوزن المتري]]*Table21213[[#This Row],[العدد]]</f>
        <v>1200</v>
      </c>
      <c r="X37" s="635"/>
    </row>
    <row r="38" ht="14.4" customHeight="1">
      <c r="A38" s="1078" t="s">
        <v>447</v>
      </c>
      <c r="B38" s="361" t="s">
        <v>9</v>
      </c>
      <c r="C38" s="361" t="s">
        <v>30</v>
      </c>
      <c r="D38" s="361" t="s">
        <v>96</v>
      </c>
      <c r="E38" s="361" t="s">
        <v>26</v>
      </c>
      <c r="F38" s="361" t="s">
        <v>171</v>
      </c>
      <c r="M38" s="1079" t="s">
        <v>447</v>
      </c>
      <c r="N38" s="1079"/>
      <c r="O38" s="1079"/>
      <c r="P38" s="1079"/>
      <c r="Q38" s="1079"/>
      <c r="R38" s="635"/>
      <c r="S38" s="527" t="s">
        <v>467</v>
      </c>
      <c r="W38" s="361" t="e">
        <f>SUM(W31:W37)*0.1</f>
        <v>#VALUE!</v>
      </c>
      <c r="X38" s="635"/>
    </row>
    <row r="39" ht="14.4" customHeight="1">
      <c r="A39" s="1078"/>
      <c r="B39" s="361" t="s">
        <v>489</v>
      </c>
      <c r="C39" s="361">
        <v>4</v>
      </c>
      <c r="D39" s="361">
        <v>3</v>
      </c>
      <c r="E39" s="361">
        <v>4.8</v>
      </c>
      <c r="F39" s="361">
        <f>IF((Table1134[لون الشاسية]=$AI$1),(Table4137[[#This Row],[Column2]]*Table4137[[#This Row],[Column3]]*Table4137[[#This Row],[Column4]]*(($K$3/1000)+25)),IF((Table1134[لون الشاسية]=$AI$2),(Table4137[[#This Row],[Column2]]*Table4137[[#This Row],[Column3]]*Table4137[[#This Row],[Column4]]*(($K$3/1000)+65)),0))</f>
        <v>15955.199999999999</v>
      </c>
      <c r="M39" s="1079"/>
      <c r="N39" s="1079"/>
      <c r="O39" s="1079"/>
      <c r="P39" s="1079"/>
      <c r="Q39" s="1079"/>
      <c r="R39" s="635"/>
      <c r="S39" s="361" t="s">
        <v>54</v>
      </c>
      <c r="W39" s="637" t="e">
        <f>SUBTOTAL(109,Table21213[القيمة])</f>
        <v>#VALUE!</v>
      </c>
      <c r="X39" s="635"/>
    </row>
    <row r="40" ht="14.4" customHeight="1">
      <c r="A40" s="1078"/>
      <c r="B40" s="361" t="s">
        <v>468</v>
      </c>
      <c r="C40" s="361">
        <v>1</v>
      </c>
      <c r="D40" s="361" t="str">
        <f>IF(AND(Table1134[العرض]&gt;399,Table1134[الامتداد]&gt;399,Table1134[الامتداد]&gt;=Table1134[العرض]),(Table1134[العرض]+Table1134[الامتداد])/50,"NO")</f>
        <v>NO</v>
      </c>
      <c r="E40" s="361">
        <v>3.63</v>
      </c>
      <c r="F40" s="361" t="e">
        <f>IF((Table1134[لون الشاسية]=$AI$1),(Table4137[[#This Row],[Column2]]*Table4137[[#This Row],[Column3]]*Table4137[[#This Row],[Column4]]*(($K$3/1000)+30)),IF((Table1134[لون الشاسية]=$AI$2),(Table4137[[#This Row],[Column2]]*Table4137[[#This Row],[Column3]]*Table4137[[#This Row],[Column4]]*(($K$3/1000)+70)),0))</f>
        <v>#VALUE!</v>
      </c>
      <c r="M40" s="1079"/>
      <c r="N40" s="1079"/>
      <c r="O40" s="1079"/>
      <c r="P40" s="1079"/>
      <c r="Q40" s="1079"/>
      <c r="R40" s="635"/>
      <c r="S40" s="527"/>
      <c r="T40" s="527"/>
      <c r="U40" s="527"/>
      <c r="V40" s="527"/>
      <c r="W40" s="527"/>
      <c r="X40" s="635"/>
    </row>
    <row r="41" ht="15" customHeight="1">
      <c r="A41" s="1078"/>
      <c r="B41" s="361" t="s">
        <v>490</v>
      </c>
      <c r="C41" s="361">
        <v>1</v>
      </c>
      <c r="F41" s="641">
        <f>L47</f>
        <v>61684.926880444342</v>
      </c>
      <c r="M41" s="1079"/>
      <c r="N41" s="1079"/>
      <c r="O41" s="1079"/>
      <c r="P41" s="1079"/>
      <c r="Q41" s="1079"/>
      <c r="R41" s="635"/>
      <c r="S41" s="1080"/>
      <c r="T41" s="1080"/>
      <c r="U41" s="1080"/>
      <c r="V41" s="1080"/>
      <c r="W41" s="1080"/>
      <c r="X41" s="635"/>
    </row>
    <row r="42" ht="21" customHeight="1">
      <c r="A42" s="1078"/>
      <c r="B42" s="361" t="s">
        <v>491</v>
      </c>
      <c r="C42" s="361">
        <v>4</v>
      </c>
      <c r="E42" s="361">
        <f>Sheet2!B60</f>
        <v>600</v>
      </c>
      <c r="F42" s="361">
        <f>Table4137[[#This Row],[Column2]]*Table4137[[#This Row],[Column4]]</f>
        <v>2400</v>
      </c>
      <c r="I42" s="1081" t="s">
        <v>368</v>
      </c>
      <c r="J42" s="1082"/>
      <c r="K42" s="1083" t="s">
        <v>337</v>
      </c>
      <c r="L42" s="1084"/>
      <c r="M42" s="1079"/>
      <c r="N42" s="1079"/>
      <c r="O42" s="1079"/>
      <c r="P42" s="1079"/>
      <c r="Q42" s="1079"/>
      <c r="R42" s="635"/>
      <c r="S42" s="527" t="s">
        <v>492</v>
      </c>
      <c r="T42" s="527">
        <f>(Table1134[الامتداد]-30)/17</f>
        <v>21.764705882352942</v>
      </c>
      <c r="U42" s="527"/>
      <c r="V42" s="1076" t="s">
        <v>456</v>
      </c>
      <c r="W42" s="1076"/>
      <c r="X42" s="635"/>
    </row>
    <row r="43" ht="17.4" customHeight="1">
      <c r="A43" s="1078"/>
      <c r="B43" s="361" t="s">
        <v>493</v>
      </c>
      <c r="C43" s="361">
        <v>4</v>
      </c>
      <c r="E43" s="361">
        <f>Sheet2!B61</f>
        <v>900</v>
      </c>
      <c r="F43" s="361">
        <f>Table4137[[#This Row],[Column2]]*Table4137[[#This Row],[Column4]]</f>
        <v>3600</v>
      </c>
      <c r="I43" s="643" t="s">
        <v>344</v>
      </c>
      <c r="J43" s="644">
        <f>Table1134[العرض]</f>
        <v>350</v>
      </c>
      <c r="K43" s="645" t="s">
        <v>375</v>
      </c>
      <c r="L43" s="646">
        <f>Table1134[الامتداد]</f>
        <v>400</v>
      </c>
      <c r="M43" s="1079"/>
      <c r="N43" s="1079"/>
      <c r="O43" s="1079"/>
      <c r="P43" s="1079"/>
      <c r="Q43" s="1079"/>
      <c r="R43" s="635"/>
      <c r="S43" s="527" t="s">
        <v>494</v>
      </c>
      <c r="T43" s="527">
        <f>(Table1134[الامتداد]-30)/17</f>
        <v>21.764705882352942</v>
      </c>
      <c r="U43" s="527">
        <f>ROUND(T42+T43,0)</f>
        <v>44</v>
      </c>
      <c r="V43" s="1076"/>
      <c r="W43" s="1076"/>
      <c r="X43" s="635"/>
    </row>
    <row r="44" ht="19.2" customHeight="1">
      <c r="A44" s="1078"/>
      <c r="B44" s="361" t="s">
        <v>488</v>
      </c>
      <c r="C44" s="361">
        <v>4</v>
      </c>
      <c r="E44" s="361">
        <v>300</v>
      </c>
      <c r="F44" s="361">
        <f>Table4137[[#This Row],[Column4]]*Table4137[[#This Row],[Column2]]</f>
        <v>1200</v>
      </c>
      <c r="I44" s="647" t="s">
        <v>376</v>
      </c>
      <c r="J44" s="644">
        <f>J43*L43/10000</f>
        <v>14</v>
      </c>
      <c r="K44" s="648" t="s">
        <v>495</v>
      </c>
      <c r="L44" s="649" t="s">
        <v>496</v>
      </c>
      <c r="M44" s="1079"/>
      <c r="N44" s="1079"/>
      <c r="O44" s="1079"/>
      <c r="P44" s="1079"/>
      <c r="Q44" s="1079"/>
      <c r="R44" s="635"/>
      <c r="S44" s="361" t="s">
        <v>450</v>
      </c>
      <c r="T44" s="361" t="s">
        <v>451</v>
      </c>
      <c r="U44" s="361" t="s">
        <v>452</v>
      </c>
      <c r="V44" s="361" t="s">
        <v>453</v>
      </c>
      <c r="W44" s="361" t="s">
        <v>454</v>
      </c>
      <c r="X44" s="635"/>
    </row>
    <row r="45" ht="17.4" customHeight="1">
      <c r="A45" s="1078"/>
      <c r="B45" s="361" t="s">
        <v>478</v>
      </c>
      <c r="C45" s="361">
        <f>ROUNDUP((Table1134[العرض]+Table1134[الامتداد])*2/500,0)</f>
        <v>3</v>
      </c>
      <c r="E45" s="638">
        <v>350</v>
      </c>
      <c r="F45" s="361">
        <f>Table4137[[#This Row],[Column4]]*Table4137[[#This Row],[Column2]]</f>
        <v>1050</v>
      </c>
      <c r="I45" s="650" t="s">
        <v>379</v>
      </c>
      <c r="J45" s="648">
        <f>J43-1</f>
        <v>349</v>
      </c>
      <c r="K45" s="651" t="s">
        <v>380</v>
      </c>
      <c r="L45" s="652">
        <f>IF(B141=1,P194,IF(B141=2,P194,IF(B141=3,P194,IF(B141=4,P194,IF(B141=5,P194,"-------")))))</f>
        <v>372</v>
      </c>
      <c r="M45" s="1079"/>
      <c r="N45" s="1079"/>
      <c r="O45" s="1079"/>
      <c r="P45" s="1079"/>
      <c r="Q45" s="1079"/>
      <c r="R45" s="635"/>
      <c r="S45" s="361" t="s">
        <v>457</v>
      </c>
      <c r="T45" s="361">
        <v>4</v>
      </c>
      <c r="U45" s="361">
        <v>3</v>
      </c>
      <c r="V45" s="361">
        <v>4.8</v>
      </c>
      <c r="W45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15955.199999999999</v>
      </c>
      <c r="X45" s="635"/>
    </row>
    <row r="46" ht="21" customHeight="1">
      <c r="A46" s="1078"/>
      <c r="B46" s="527" t="s">
        <v>479</v>
      </c>
      <c r="C46" s="527">
        <v>1</v>
      </c>
      <c r="D46" s="639" t="s">
        <v>480</v>
      </c>
      <c r="E46" s="527">
        <v>1425</v>
      </c>
      <c r="F46" s="361">
        <f>Table4137[[#This Row],[Column4]]*Table4137[[#This Row],[Column2]]</f>
        <v>1425</v>
      </c>
      <c r="H46" s="653"/>
      <c r="I46" s="653"/>
      <c r="J46" s="1085" t="s">
        <v>369</v>
      </c>
      <c r="K46" s="1086"/>
      <c r="L46" s="1087">
        <f>IF(Table1134[لون اللوفرز]=AI1,K3+(Sheet2!B41*1000),IF(Table1134[لون اللوفرز]=AI2,K3+Sheet2!B15,"NO"))</f>
        <v>282000</v>
      </c>
      <c r="M46" s="1087"/>
      <c r="N46" s="654"/>
      <c r="O46" s="527"/>
      <c r="P46" s="527"/>
      <c r="Q46" s="527"/>
      <c r="R46" s="635"/>
      <c r="S46" s="361" t="s">
        <v>497</v>
      </c>
      <c r="T46" s="361">
        <v>1</v>
      </c>
      <c r="U46" s="361">
        <f>(Table1134[الامتداد]+Table1134[العرض])/50</f>
        <v>15</v>
      </c>
      <c r="V46" s="361">
        <v>3.63</v>
      </c>
      <c r="W46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15082.65</v>
      </c>
      <c r="X46" s="635"/>
      <c r="Y46" s="527"/>
    </row>
    <row r="47" ht="19.2" customHeight="1">
      <c r="A47" s="1078"/>
      <c r="B47" s="361" t="s">
        <v>481</v>
      </c>
      <c r="C47" s="361">
        <v>1</v>
      </c>
      <c r="E47" s="638">
        <v>500</v>
      </c>
      <c r="F47" s="361">
        <f>Table4137[[#This Row],[Column4]]*Table4137[[#This Row],[Column2]]</f>
        <v>500</v>
      </c>
      <c r="H47" s="527"/>
      <c r="I47" s="527"/>
      <c r="J47" s="1090" t="s">
        <v>498</v>
      </c>
      <c r="K47" s="1090"/>
      <c r="L47" s="1064">
        <f>Table13138[[#Totals],[السعر]]+Table15139[[#Totals],[قيمة]]</f>
        <v>61684.926880444342</v>
      </c>
      <c r="M47" s="1064"/>
      <c r="N47" s="527"/>
      <c r="O47" s="527"/>
      <c r="P47" s="527"/>
      <c r="Q47" s="527"/>
      <c r="R47" s="635"/>
      <c r="S47" s="361" t="s">
        <v>499</v>
      </c>
      <c r="T47" s="361">
        <v>2</v>
      </c>
      <c r="U47" s="361">
        <f>Table1134[الامتداد]/100</f>
        <v>4</v>
      </c>
      <c r="V47" s="361">
        <v>0.9</v>
      </c>
      <c r="W47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1994.4</v>
      </c>
      <c r="X47" s="635"/>
      <c r="Y47" s="527"/>
    </row>
    <row r="48" ht="17.4" customHeight="1">
      <c r="A48" s="1078"/>
      <c r="B48" s="527" t="s">
        <v>467</v>
      </c>
      <c r="C48" s="527"/>
      <c r="D48" s="527"/>
      <c r="E48" s="527"/>
      <c r="F48" s="527" t="e">
        <f>SUM(F38:F47)*0.1</f>
        <v>#VALUE!</v>
      </c>
      <c r="H48" s="527"/>
      <c r="I48" s="527"/>
      <c r="J48" s="1065" t="s">
        <v>127</v>
      </c>
      <c r="K48" s="1066"/>
      <c r="L48" s="1067">
        <f>L47/J44</f>
        <v>4406.066205746024</v>
      </c>
      <c r="M48" s="1068"/>
      <c r="N48" s="527"/>
      <c r="O48" s="527"/>
      <c r="P48" s="527"/>
      <c r="Q48" s="527"/>
      <c r="R48" s="635"/>
      <c r="S48" s="361" t="s">
        <v>485</v>
      </c>
      <c r="T48" s="361">
        <f>IF(AND(Table1134[العرض]&lt;=400,Table1134[العرض]&gt;=350,Table1134[الامتداد]&lt;=500,Table1134[الامتداد]&gt;=350,Table1134[الامتداد]&gt;=Table1134[العرض]),U43,"NO")</f>
        <v>44</v>
      </c>
      <c r="U48" s="361">
        <f>Table1134[العرض]/100</f>
        <v>3.5</v>
      </c>
      <c r="V48" s="361">
        <v>0.75</v>
      </c>
      <c r="W48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31993.5</v>
      </c>
      <c r="X48" s="635"/>
      <c r="Y48" s="527"/>
    </row>
    <row r="49" ht="28.2" customHeight="1">
      <c r="A49" s="1078"/>
      <c r="B49" s="361" t="s">
        <v>54</v>
      </c>
      <c r="F49" s="641" t="e">
        <f>SUBTOTAL(109,Table4137[Column5])</f>
        <v>#VALUE!</v>
      </c>
      <c r="H49" s="655"/>
      <c r="I49" s="655"/>
      <c r="J49" s="655"/>
      <c r="K49" s="657"/>
      <c r="L49" s="527"/>
      <c r="M49" s="527"/>
      <c r="N49" s="654"/>
      <c r="O49" s="527"/>
      <c r="P49" s="527"/>
      <c r="Q49" s="527"/>
      <c r="R49" s="635"/>
      <c r="S49" s="361" t="s">
        <v>460</v>
      </c>
      <c r="T49" s="361">
        <v>4</v>
      </c>
      <c r="V49" s="361">
        <f>Sheet2!B60</f>
        <v>600</v>
      </c>
      <c r="W49" s="361">
        <f>Table212136[[#This Row],[العدد]]*Table212136[[#This Row],[الوزن المتري]]</f>
        <v>2400</v>
      </c>
      <c r="X49" s="635"/>
      <c r="Y49" s="527"/>
    </row>
    <row r="50" ht="18" customHeight="1">
      <c r="A50" s="1078"/>
      <c r="B50" s="527"/>
      <c r="C50" s="527"/>
      <c r="D50" s="527"/>
      <c r="E50" s="1075" t="s">
        <v>500</v>
      </c>
      <c r="F50" s="1075"/>
      <c r="G50" s="1075"/>
      <c r="H50" s="527"/>
      <c r="I50" s="527"/>
      <c r="J50" s="527"/>
      <c r="K50" s="527"/>
      <c r="L50" s="527"/>
      <c r="M50" s="527"/>
      <c r="N50" s="654"/>
      <c r="O50" s="527"/>
      <c r="P50" s="527"/>
      <c r="Q50" s="527"/>
      <c r="R50" s="635"/>
      <c r="S50" s="361" t="s">
        <v>475</v>
      </c>
      <c r="T50" s="361">
        <v>4</v>
      </c>
      <c r="V50" s="361">
        <f>Sheet2!B61</f>
        <v>900</v>
      </c>
      <c r="W50" s="361">
        <f>Table212136[[#This Row],[الوزن المتري]]*Table212136[[#This Row],[العدد]]</f>
        <v>3600</v>
      </c>
      <c r="X50" s="635"/>
      <c r="Y50" s="527"/>
    </row>
    <row r="51" ht="18" customHeight="1">
      <c r="A51" s="1078"/>
      <c r="B51" s="659" t="s">
        <v>381</v>
      </c>
      <c r="C51" s="660" t="s">
        <v>324</v>
      </c>
      <c r="D51" s="660" t="s">
        <v>382</v>
      </c>
      <c r="E51" s="527" t="s">
        <v>501</v>
      </c>
      <c r="F51" s="658" t="s">
        <v>502</v>
      </c>
      <c r="G51" s="658" t="s">
        <v>503</v>
      </c>
      <c r="H51" s="658" t="s">
        <v>504</v>
      </c>
      <c r="I51" s="658" t="s">
        <v>505</v>
      </c>
      <c r="J51" s="658" t="s">
        <v>506</v>
      </c>
      <c r="K51" s="527" t="s">
        <v>507</v>
      </c>
      <c r="L51" s="660" t="s">
        <v>508</v>
      </c>
      <c r="M51" s="527" t="s">
        <v>509</v>
      </c>
      <c r="N51" s="660" t="s">
        <v>9</v>
      </c>
      <c r="O51" s="541" t="s">
        <v>387</v>
      </c>
      <c r="P51" s="541" t="s">
        <v>388</v>
      </c>
      <c r="Q51" s="654"/>
      <c r="R51" s="635"/>
      <c r="S51" s="361" t="s">
        <v>488</v>
      </c>
      <c r="T51" s="361">
        <v>4</v>
      </c>
      <c r="V51" s="361">
        <v>300</v>
      </c>
      <c r="W51" s="361">
        <f>Table212136[[#This Row],[الوزن المتري]]*Table212136[[#This Row],[العدد]]</f>
        <v>1200</v>
      </c>
      <c r="X51" s="635"/>
      <c r="Y51" s="527"/>
    </row>
    <row r="52" ht="18" customHeight="1">
      <c r="A52" s="1078"/>
      <c r="B52" s="659" t="s">
        <v>389</v>
      </c>
      <c r="C52" s="661">
        <f>H68</f>
        <v>2</v>
      </c>
      <c r="D52" s="662">
        <f>G234</f>
        <v>365</v>
      </c>
      <c r="E52" s="656">
        <f>IF(D52&lt;=400,4,0)</f>
        <v>4</v>
      </c>
      <c r="F52" s="656">
        <f>IF(AND(D52&gt;400,D52&lt;=500),5,0)</f>
        <v>0</v>
      </c>
      <c r="G52" s="656">
        <f>IF(AND(D52&gt;500,D52&lt;=600),6,0)</f>
        <v>0</v>
      </c>
      <c r="H52" s="656">
        <f>IF(AND(D52&gt;600,D52&lt;=700),7,0)</f>
        <v>0</v>
      </c>
      <c r="I52" s="656">
        <f>IF(AND(D52&gt;400,D52&lt;=500),5,0)</f>
        <v>0</v>
      </c>
      <c r="J52" s="656"/>
      <c r="K52" s="541">
        <f ref="K52:K61" t="shared" si="4">MAX(E52:I52)</f>
        <v>4</v>
      </c>
      <c r="L52" s="663">
        <f ref="L52:L61" t="shared" si="5">(C52*D52)/K52/100</f>
        <v>1.825</v>
      </c>
      <c r="M52" s="541">
        <f>CEILING(L52,0.5)</f>
        <v>2</v>
      </c>
      <c r="N52" s="541">
        <f>M52*K52</f>
        <v>8</v>
      </c>
      <c r="O52" s="663">
        <v>4.4562770562770568</v>
      </c>
      <c r="P52" s="664">
        <f>($L$46/1000)*O52*N52</f>
        <v>10053.36103896104</v>
      </c>
      <c r="Q52" s="654"/>
      <c r="R52" s="635"/>
      <c r="S52" s="361" t="s">
        <v>478</v>
      </c>
      <c r="T52" s="361">
        <v>4</v>
      </c>
      <c r="V52" s="638">
        <v>350</v>
      </c>
      <c r="W52" s="361">
        <f>Table212136[[#This Row],[الوزن المتري]]*Table212136[[#This Row],[العدد]]</f>
        <v>1400</v>
      </c>
      <c r="X52" s="635"/>
      <c r="Y52" s="527"/>
    </row>
    <row r="53" ht="20.4" customHeight="1">
      <c r="A53" s="1078"/>
      <c r="B53" s="659" t="s">
        <v>390</v>
      </c>
      <c r="C53" s="661">
        <f>IF(H68&gt;2,4,IF(H68=2,2))</f>
        <v>2</v>
      </c>
      <c r="D53" s="662">
        <f>IF(B141=1,IF(H68=2,H74+7,IF(H68=3,H74+1,H74+1)),IF(B141=2,IF(H68=2,H74+8,IF(H68=3,H74+1.5,H74+1.5)),IF(B141=3,IF(H68=2,H74+7,IF(H68=3,H74+1,H74+1)),IF(B141=5,IF(H68=2,H74+11,IF(H68=3,H74+3,H74+3)),IF(B141=4,IF(H68=2,H74+9.5,IF(H68=3,H74+2.25,H74+2.25)),"----")))))</f>
        <v>349</v>
      </c>
      <c r="E53" s="541">
        <f>IF(D53&lt;=400,4,0)</f>
        <v>4</v>
      </c>
      <c r="F53" s="541">
        <f>IF(AND(D53&gt;401,D53&lt;=500),5,0)</f>
        <v>0</v>
      </c>
      <c r="G53" s="541">
        <f>IF(AND(D53&gt;501,D53&lt;=600),6,0)</f>
        <v>0</v>
      </c>
      <c r="H53" s="541">
        <f>IF(AND(D53&gt;601,D53&lt;=700),7,0)</f>
        <v>0</v>
      </c>
      <c r="I53" s="541"/>
      <c r="J53" s="541"/>
      <c r="K53" s="541">
        <f t="shared" si="4"/>
        <v>4</v>
      </c>
      <c r="L53" s="663">
        <f t="shared" si="5"/>
        <v>1.745</v>
      </c>
      <c r="M53" s="541">
        <f ref="M53:M62" t="shared" si="6">CEILING(L53,0.25)</f>
        <v>1.75</v>
      </c>
      <c r="N53" s="541">
        <f ref="N53:N61" t="shared" si="7">C53*K53</f>
        <v>8</v>
      </c>
      <c r="O53" s="663">
        <v>1.8637873754152825</v>
      </c>
      <c r="P53" s="664">
        <f ref="P53:P61" t="shared" si="8">($L$46/1000)*O53*N53</f>
        <v>4204.7043189368769</v>
      </c>
      <c r="Q53" s="654"/>
      <c r="R53" s="635"/>
      <c r="S53" s="527" t="s">
        <v>479</v>
      </c>
      <c r="T53" s="527">
        <v>1</v>
      </c>
      <c r="U53" s="639" t="s">
        <v>480</v>
      </c>
      <c r="V53" s="527">
        <v>1425</v>
      </c>
      <c r="W53" s="361">
        <f>Table212136[[#This Row],[الوزن المتري]]*Table212136[[#This Row],[العدد]]</f>
        <v>1425</v>
      </c>
      <c r="X53" s="635"/>
      <c r="Y53" s="527"/>
    </row>
    <row r="54" ht="18" customHeight="1">
      <c r="A54" s="1078"/>
      <c r="B54" s="659" t="s">
        <v>391</v>
      </c>
      <c r="C54" s="661" t="str">
        <f>IF(H68&lt;=3,"0",(H68-3)*2)</f>
        <v>0</v>
      </c>
      <c r="D54" s="662">
        <f>IF(C54="-------","-------",H74-5)</f>
        <v>336</v>
      </c>
      <c r="E54" s="541"/>
      <c r="F54" s="541"/>
      <c r="G54" s="541"/>
      <c r="H54" s="541"/>
      <c r="I54" s="541"/>
      <c r="J54" s="541"/>
      <c r="K54" s="541"/>
      <c r="L54" s="663" t="e">
        <f t="shared" si="5"/>
        <v>#DIV/0!</v>
      </c>
      <c r="M54" s="541" t="e">
        <f t="shared" si="6"/>
        <v>#DIV/0!</v>
      </c>
      <c r="N54" s="541">
        <f t="shared" si="7"/>
        <v>0</v>
      </c>
      <c r="O54" s="663">
        <v>1.8637873754152825</v>
      </c>
      <c r="P54" s="664">
        <f t="shared" si="8"/>
        <v>0</v>
      </c>
      <c r="Q54" s="654"/>
      <c r="R54" s="635"/>
      <c r="S54" s="361" t="s">
        <v>481</v>
      </c>
      <c r="T54" s="361">
        <v>1</v>
      </c>
      <c r="V54" s="638">
        <v>500</v>
      </c>
      <c r="W54" s="361">
        <f>Table212136[[#This Row],[الوزن المتري]]*Table212136[[#This Row],[العدد]]</f>
        <v>500</v>
      </c>
      <c r="X54" s="635"/>
      <c r="Y54" s="527"/>
    </row>
    <row r="55" ht="18" customHeight="1">
      <c r="A55" s="1078"/>
      <c r="B55" s="659" t="s">
        <v>393</v>
      </c>
      <c r="C55" s="661">
        <f>IF(H68&gt;2,2*H71,IF(H68=2,H71))</f>
        <v>5</v>
      </c>
      <c r="D55" s="662">
        <f>D53</f>
        <v>349</v>
      </c>
      <c r="E55" s="541">
        <f>IF(D55&lt;=400,4,0)</f>
        <v>4</v>
      </c>
      <c r="F55" s="541">
        <f>IF(AND(D55&gt;401,D55&lt;=500),5,0)</f>
        <v>0</v>
      </c>
      <c r="G55" s="541">
        <f>IF(AND(D55&gt;501,D55&lt;=600),6,0)</f>
        <v>0</v>
      </c>
      <c r="H55" s="541">
        <f>IF(AND(D55&gt;601,D55&lt;=700),7,0)</f>
        <v>0</v>
      </c>
      <c r="I55" s="541"/>
      <c r="J55" s="541"/>
      <c r="K55" s="541">
        <f t="shared" si="4"/>
        <v>4</v>
      </c>
      <c r="L55" s="663">
        <f t="shared" si="5"/>
        <v>4.3625</v>
      </c>
      <c r="M55" s="541">
        <f>CEILING(L55,0.5)</f>
        <v>4.5</v>
      </c>
      <c r="N55" s="541">
        <f t="shared" si="7"/>
        <v>20</v>
      </c>
      <c r="O55" s="663">
        <v>1.0517241379310345</v>
      </c>
      <c r="P55" s="664">
        <f t="shared" si="8"/>
        <v>5931.7241379310344</v>
      </c>
      <c r="Q55" s="654"/>
      <c r="R55" s="635"/>
      <c r="S55" s="527" t="s">
        <v>467</v>
      </c>
      <c r="T55" s="527"/>
      <c r="U55" s="527"/>
      <c r="V55" s="527"/>
      <c r="W55" s="527">
        <f>SUM(W45:W54)*0.15</f>
        <v>11332.6125</v>
      </c>
      <c r="X55" s="635"/>
      <c r="Y55" s="527"/>
    </row>
    <row r="56" ht="18" customHeight="1">
      <c r="A56" s="1078"/>
      <c r="B56" s="659" t="s">
        <v>395</v>
      </c>
      <c r="C56" s="661" t="str">
        <f>IF(H68&lt;=3,"0",(H68-3)*H71)</f>
        <v>0</v>
      </c>
      <c r="D56" s="662">
        <f>IF(C56="-------","---------",D54)</f>
        <v>336</v>
      </c>
      <c r="E56" s="541"/>
      <c r="F56" s="541"/>
      <c r="G56" s="541"/>
      <c r="H56" s="541"/>
      <c r="I56" s="541"/>
      <c r="J56" s="541"/>
      <c r="K56" s="541">
        <f t="shared" si="4"/>
        <v>0</v>
      </c>
      <c r="L56" s="663" t="e">
        <f t="shared" si="5"/>
        <v>#DIV/0!</v>
      </c>
      <c r="M56" s="541" t="e">
        <f>CEILING(L56,0.5)</f>
        <v>#DIV/0!</v>
      </c>
      <c r="N56" s="541">
        <f t="shared" si="7"/>
        <v>0</v>
      </c>
      <c r="O56" s="663">
        <v>1.0517241379310345</v>
      </c>
      <c r="P56" s="664">
        <f t="shared" si="8"/>
        <v>0</v>
      </c>
      <c r="Q56" s="654"/>
      <c r="R56" s="635"/>
      <c r="S56" s="361" t="s">
        <v>54</v>
      </c>
      <c r="W56" s="637">
        <f>SUBTOTAL(109,Table212136[القيمة])</f>
        <v>86883.3625</v>
      </c>
      <c r="X56" s="635"/>
      <c r="Y56" s="527"/>
    </row>
    <row r="57" ht="18" customHeight="1">
      <c r="A57" s="1078"/>
      <c r="B57" s="659" t="s">
        <v>396</v>
      </c>
      <c r="C57" s="661">
        <v>1</v>
      </c>
      <c r="D57" s="662">
        <f>IF(B141=1,IF(H68=2,H74+5.5,IF(H68=3,H74+2.5,H74+2.5)),IF(B141=2,IF(H68=2,H74+6.5,IF(H68=3,H74+3,H74+3.5)),IF(B141=3,IF(H68=2,H74+5.5,IF(H68=3,H74+3.5,H74+3.5)),IF(B141=4,IF(H68=2,H74+9,IF(H68=3,H74+4.75,H74+4.75)),IF(B141=5,IF(H68=2,H74+10.5,IF(H68=3,H74+5.5,H74+5.5)),"------")))))</f>
        <v>347.5</v>
      </c>
      <c r="E57" s="541">
        <f>IF(D57&lt;=400,4,0)</f>
        <v>4</v>
      </c>
      <c r="F57" s="541">
        <f>IF(AND(D57&gt;401,D57&lt;=500),5,0)</f>
        <v>0</v>
      </c>
      <c r="G57" s="541">
        <f>IF(AND(D57&gt;501,D57&lt;=600),6,0)</f>
        <v>0</v>
      </c>
      <c r="H57" s="541">
        <f>IF(AND(D57&gt;601,D57&lt;=700),7,0)</f>
        <v>0</v>
      </c>
      <c r="I57" s="541"/>
      <c r="J57" s="541"/>
      <c r="K57" s="541">
        <f t="shared" si="4"/>
        <v>4</v>
      </c>
      <c r="L57" s="663">
        <f t="shared" si="5"/>
        <v>0.86875</v>
      </c>
      <c r="M57" s="541">
        <f ref="M57:M58" t="shared" si="9">CEILING(L57,0.5)</f>
        <v>1</v>
      </c>
      <c r="N57" s="541">
        <f t="shared" si="7"/>
        <v>4</v>
      </c>
      <c r="O57" s="663">
        <v>1.394871794871795</v>
      </c>
      <c r="P57" s="664">
        <f t="shared" si="8"/>
        <v>1573.4153846153847</v>
      </c>
      <c r="Q57" s="654"/>
      <c r="R57" s="635"/>
      <c r="S57" s="642"/>
      <c r="T57" s="642"/>
      <c r="U57" s="642"/>
      <c r="V57" s="642"/>
      <c r="W57" s="642"/>
      <c r="X57" s="635"/>
      <c r="Y57" s="527"/>
    </row>
    <row r="58" ht="28.95" customHeight="1">
      <c r="A58" s="1078"/>
      <c r="B58" s="659" t="s">
        <v>398</v>
      </c>
      <c r="C58" s="661" t="str">
        <f>IF(H68=2,"0",1)</f>
        <v>0</v>
      </c>
      <c r="D58" s="662">
        <f>IF(C58="-------","-------",IF(B141=1,(H74+3),IF(B141=2,(H74+3.5),IF(B141=3,(H74+3),IF(B141=4,(H74+4.25),IF(B141=5,(H74+5),"--------"))))))</f>
        <v>344.5</v>
      </c>
      <c r="E58" s="541"/>
      <c r="F58" s="541"/>
      <c r="G58" s="541"/>
      <c r="H58" s="541"/>
      <c r="I58" s="541"/>
      <c r="J58" s="541"/>
      <c r="K58" s="541">
        <f t="shared" si="4"/>
        <v>0</v>
      </c>
      <c r="L58" s="663" t="e">
        <f t="shared" si="5"/>
        <v>#DIV/0!</v>
      </c>
      <c r="M58" s="541" t="e">
        <f t="shared" si="9"/>
        <v>#DIV/0!</v>
      </c>
      <c r="N58" s="541">
        <f t="shared" si="7"/>
        <v>0</v>
      </c>
      <c r="O58" s="663">
        <v>1.394871794871795</v>
      </c>
      <c r="P58" s="664">
        <f t="shared" si="8"/>
        <v>0</v>
      </c>
      <c r="Q58" s="654"/>
      <c r="R58" s="635"/>
      <c r="S58" s="527" t="s">
        <v>492</v>
      </c>
      <c r="T58" s="527">
        <f>(Table1134[الامتداد]-30)/11</f>
        <v>33.636363636363633</v>
      </c>
      <c r="V58" s="1076" t="s">
        <v>459</v>
      </c>
      <c r="W58" s="1076"/>
      <c r="X58" s="635"/>
      <c r="Y58" s="527"/>
    </row>
    <row r="59" ht="28.95" customHeight="1">
      <c r="A59" s="1078"/>
      <c r="B59" s="659" t="s">
        <v>399</v>
      </c>
      <c r="C59" s="661" t="str">
        <f>IF(H68&lt;=3,"0",(H68-3))</f>
        <v>0</v>
      </c>
      <c r="D59" s="662">
        <f>IF(C59="-------","-------",H74)</f>
        <v>341</v>
      </c>
      <c r="E59" s="541"/>
      <c r="F59" s="541"/>
      <c r="G59" s="541"/>
      <c r="H59" s="541"/>
      <c r="I59" s="541"/>
      <c r="J59" s="541"/>
      <c r="K59" s="541">
        <f t="shared" si="4"/>
        <v>0</v>
      </c>
      <c r="L59" s="663" t="e">
        <f t="shared" si="5"/>
        <v>#DIV/0!</v>
      </c>
      <c r="M59" s="541" t="e">
        <f t="shared" si="6"/>
        <v>#DIV/0!</v>
      </c>
      <c r="N59" s="541">
        <f t="shared" si="7"/>
        <v>0</v>
      </c>
      <c r="O59" s="663">
        <v>1.394871794871795</v>
      </c>
      <c r="P59" s="664">
        <f t="shared" si="8"/>
        <v>0</v>
      </c>
      <c r="Q59" s="654"/>
      <c r="R59" s="635"/>
      <c r="S59" s="527"/>
      <c r="T59" s="527">
        <f>ROUND(T58,0)</f>
        <v>34</v>
      </c>
      <c r="U59" s="527"/>
      <c r="V59" s="1076"/>
      <c r="W59" s="1076"/>
      <c r="X59" s="635"/>
      <c r="Y59" s="527"/>
    </row>
    <row r="60" ht="18" customHeight="1">
      <c r="A60" s="1078"/>
      <c r="B60" s="659" t="str">
        <f>IF(I138=1,"Balloon","-------")</f>
        <v>-------</v>
      </c>
      <c r="C60" s="661">
        <v>0</v>
      </c>
      <c r="D60" s="662">
        <f>IF(C60="-------","-------",J43-2.5)</f>
        <v>347.5</v>
      </c>
      <c r="E60" s="541"/>
      <c r="F60" s="541"/>
      <c r="G60" s="541"/>
      <c r="H60" s="541"/>
      <c r="I60" s="541"/>
      <c r="J60" s="541"/>
      <c r="K60" s="541">
        <f t="shared" si="4"/>
        <v>0</v>
      </c>
      <c r="L60" s="663" t="e">
        <f t="shared" si="5"/>
        <v>#DIV/0!</v>
      </c>
      <c r="M60" s="541" t="e">
        <f t="shared" si="6"/>
        <v>#DIV/0!</v>
      </c>
      <c r="N60" s="541">
        <f t="shared" si="7"/>
        <v>0</v>
      </c>
      <c r="O60" s="541"/>
      <c r="P60" s="664">
        <f t="shared" si="8"/>
        <v>0</v>
      </c>
      <c r="Q60" s="654"/>
      <c r="R60" s="635"/>
      <c r="S60" s="361" t="s">
        <v>450</v>
      </c>
      <c r="T60" s="361" t="s">
        <v>451</v>
      </c>
      <c r="U60" s="361" t="s">
        <v>452</v>
      </c>
      <c r="V60" s="361" t="s">
        <v>453</v>
      </c>
      <c r="W60" s="361" t="s">
        <v>454</v>
      </c>
      <c r="X60" s="635"/>
      <c r="Y60" s="527"/>
    </row>
    <row r="61" ht="18" customHeight="1">
      <c r="A61" s="1078"/>
      <c r="B61" s="659" t="s">
        <v>400</v>
      </c>
      <c r="C61" s="659">
        <f>IF([2]Royal!W49=[2]Royal!AO50,0,(C53+C54)/2)</f>
        <v>0</v>
      </c>
      <c r="D61" s="662">
        <f>H74-7</f>
        <v>334</v>
      </c>
      <c r="E61" s="541">
        <f>IF(D61&lt;=300,3,0)</f>
        <v>0</v>
      </c>
      <c r="F61" s="541">
        <f>IF(D61&gt;300,3.5,0)</f>
        <v>3.5</v>
      </c>
      <c r="G61" s="541">
        <f>IF(D61&gt;350,4,0)</f>
        <v>0</v>
      </c>
      <c r="H61" s="541">
        <f>IF(D61&gt;400,5,0)</f>
        <v>0</v>
      </c>
      <c r="I61" s="541">
        <f>IF(D61&gt;500,6,0)</f>
        <v>0</v>
      </c>
      <c r="J61" s="541">
        <f>IF(D61&gt;600,7,0)</f>
        <v>0</v>
      </c>
      <c r="K61" s="541">
        <f t="shared" si="4"/>
        <v>3.5</v>
      </c>
      <c r="L61" s="663">
        <f t="shared" si="5"/>
        <v>0</v>
      </c>
      <c r="M61" s="541">
        <f t="shared" si="6"/>
        <v>0</v>
      </c>
      <c r="N61" s="541">
        <f t="shared" si="7"/>
        <v>0</v>
      </c>
      <c r="O61" s="541">
        <v>1.65</v>
      </c>
      <c r="P61" s="664">
        <f t="shared" si="8"/>
        <v>0</v>
      </c>
      <c r="Q61" s="654"/>
      <c r="R61" s="635"/>
      <c r="S61" s="361" t="s">
        <v>457</v>
      </c>
      <c r="T61" s="361">
        <v>4</v>
      </c>
      <c r="U61" s="361">
        <v>3</v>
      </c>
      <c r="V61" s="361">
        <v>4.8</v>
      </c>
      <c r="W61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15955.199999999999</v>
      </c>
      <c r="X61" s="635"/>
      <c r="Y61" s="527"/>
    </row>
    <row r="62" ht="18" customHeight="1">
      <c r="A62" s="1078"/>
      <c r="B62" s="659" t="s">
        <v>402</v>
      </c>
      <c r="C62" s="661">
        <f>H68</f>
        <v>2</v>
      </c>
      <c r="D62" s="662">
        <f>(D52*2)+45</f>
        <v>775</v>
      </c>
      <c r="E62" s="661"/>
      <c r="F62" s="661"/>
      <c r="G62" s="661"/>
      <c r="H62" s="661"/>
      <c r="I62" s="661"/>
      <c r="J62" s="661"/>
      <c r="K62" s="541">
        <v>1</v>
      </c>
      <c r="L62" s="663">
        <f>(C62*D62)/100</f>
        <v>15.5</v>
      </c>
      <c r="M62" s="541">
        <f t="shared" si="6"/>
        <v>15.5</v>
      </c>
      <c r="N62" s="541">
        <f>M62*K62</f>
        <v>15.5</v>
      </c>
      <c r="O62" s="541">
        <v>200</v>
      </c>
      <c r="P62" s="664">
        <f>O62*N62</f>
        <v>3100</v>
      </c>
      <c r="Q62" s="654"/>
      <c r="R62" s="635"/>
      <c r="S62" s="361" t="s">
        <v>497</v>
      </c>
      <c r="T62" s="361">
        <v>2</v>
      </c>
      <c r="U62" s="361">
        <f>(Table1134[الامتداد]+Table1134[العرض])/100</f>
        <v>7.5</v>
      </c>
      <c r="V62" s="361">
        <v>3.63</v>
      </c>
      <c r="W62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15082.65</v>
      </c>
      <c r="X62" s="635"/>
      <c r="Y62" s="527"/>
    </row>
    <row r="63" ht="18" customHeight="1">
      <c r="A63" s="1078"/>
      <c r="B63" s="665" t="s">
        <v>54</v>
      </c>
      <c r="C63" s="666"/>
      <c r="D63" s="667"/>
      <c r="E63" s="595"/>
      <c r="F63" s="595"/>
      <c r="G63" s="595"/>
      <c r="H63" s="595"/>
      <c r="I63" s="595"/>
      <c r="J63" s="595"/>
      <c r="K63" s="595"/>
      <c r="L63" s="595"/>
      <c r="M63" s="595"/>
      <c r="N63" s="595"/>
      <c r="P63" s="668">
        <f>SUBTOTAL(109,Table13138[السعر])</f>
        <v>24863.20488044434</v>
      </c>
      <c r="Q63" s="654"/>
      <c r="R63" s="635"/>
      <c r="S63" s="361" t="s">
        <v>510</v>
      </c>
      <c r="T63" s="361">
        <f>IF(AND(Table1134[العرض]&lt;=400,Table1134[العرض]&gt;=350,Table1134[الامتداد]&lt;=500,Table1134[الامتداد]&gt;=350,Table1134[الامتداد]&gt;=Table1134[العرض]),T59,"NO")</f>
        <v>34</v>
      </c>
      <c r="U63" s="361">
        <f>Table1134[العرض]/100</f>
        <v>3.5</v>
      </c>
      <c r="V63" s="361">
        <v>1.2</v>
      </c>
      <c r="W63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39555.6</v>
      </c>
      <c r="X63" s="635"/>
      <c r="Y63" s="527"/>
    </row>
    <row r="64" ht="17.4" customHeight="1">
      <c r="A64" s="1078"/>
      <c r="B64" s="669" t="s">
        <v>511</v>
      </c>
      <c r="C64" s="670" t="s">
        <v>28</v>
      </c>
      <c r="D64" s="669" t="s">
        <v>272</v>
      </c>
      <c r="E64" s="669" t="s">
        <v>204</v>
      </c>
      <c r="F64" s="527"/>
      <c r="G64" s="527"/>
      <c r="H64" s="527"/>
      <c r="I64" s="527"/>
      <c r="J64" s="527"/>
      <c r="K64" s="527"/>
      <c r="L64" s="527"/>
      <c r="M64" s="527"/>
      <c r="N64" s="527"/>
      <c r="O64" s="527"/>
      <c r="P64" s="527"/>
      <c r="Q64" s="527"/>
      <c r="R64" s="635"/>
      <c r="S64" s="361" t="s">
        <v>512</v>
      </c>
      <c r="T64" s="361">
        <v>2</v>
      </c>
      <c r="U64" s="361">
        <f>Table1134[الامتداد]/100</f>
        <v>4</v>
      </c>
      <c r="V64" s="361">
        <v>0.75</v>
      </c>
      <c r="W64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1662</v>
      </c>
      <c r="X64" s="635"/>
      <c r="Y64" s="527"/>
    </row>
    <row r="65" ht="18" customHeight="1">
      <c r="A65" s="1078"/>
      <c r="B65" s="669" t="s">
        <v>513</v>
      </c>
      <c r="C65" s="671">
        <f>J45*L45*1.7/10000</f>
        <v>22.07076</v>
      </c>
      <c r="D65" s="541">
        <v>950</v>
      </c>
      <c r="E65" s="541">
        <f>D65*C65</f>
        <v>20967.222</v>
      </c>
      <c r="F65" s="527"/>
      <c r="G65" s="527"/>
      <c r="H65" s="527"/>
      <c r="I65" s="527"/>
      <c r="J65" s="527"/>
      <c r="K65" s="527"/>
      <c r="L65" s="527"/>
      <c r="M65" s="527"/>
      <c r="N65" s="527"/>
      <c r="O65" s="527"/>
      <c r="P65" s="527"/>
      <c r="Q65" s="527"/>
      <c r="R65" s="635"/>
      <c r="S65" s="361" t="s">
        <v>460</v>
      </c>
      <c r="T65" s="361">
        <v>4</v>
      </c>
      <c r="V65" s="361">
        <f>Sheet2!B60</f>
        <v>600</v>
      </c>
      <c r="W65" s="361">
        <f>Table2121367[[#This Row],[العدد]]*Table2121367[[#This Row],[الوزن المتري]]</f>
        <v>2400</v>
      </c>
      <c r="X65" s="635"/>
      <c r="Y65" s="527"/>
    </row>
    <row r="66" ht="18" customHeight="1">
      <c r="A66" s="1078"/>
      <c r="B66" s="671" t="s">
        <v>410</v>
      </c>
      <c r="C66" s="671">
        <f>H68</f>
        <v>2</v>
      </c>
      <c r="D66" s="541">
        <v>250</v>
      </c>
      <c r="E66" s="541">
        <f ref="E66:E94" t="shared" si="17">D66*C66</f>
        <v>500</v>
      </c>
      <c r="F66" s="527"/>
      <c r="G66" s="527"/>
      <c r="H66" s="527"/>
      <c r="I66" s="527"/>
      <c r="J66" s="527"/>
      <c r="K66" s="527"/>
      <c r="L66" s="527"/>
      <c r="M66" s="527"/>
      <c r="N66" s="527"/>
      <c r="O66" s="527"/>
      <c r="P66" s="527"/>
      <c r="Q66" s="527"/>
      <c r="R66" s="635"/>
      <c r="S66" s="361" t="s">
        <v>475</v>
      </c>
      <c r="T66" s="361">
        <v>4</v>
      </c>
      <c r="V66" s="361">
        <f>Sheet2!B61</f>
        <v>900</v>
      </c>
      <c r="W66" s="361">
        <f>Table2121367[[#This Row],[الوزن المتري]]*Table2121367[[#This Row],[العدد]]</f>
        <v>3600</v>
      </c>
      <c r="X66" s="635"/>
    </row>
    <row r="67" ht="18" customHeight="1">
      <c r="A67" s="1078"/>
      <c r="B67" s="671" t="s">
        <v>411</v>
      </c>
      <c r="C67" s="671">
        <f>H68</f>
        <v>2</v>
      </c>
      <c r="D67" s="541">
        <v>250</v>
      </c>
      <c r="E67" s="541">
        <f t="shared" si="17"/>
        <v>500</v>
      </c>
      <c r="F67" s="527"/>
      <c r="G67" s="527"/>
      <c r="H67" s="1071" t="s">
        <v>366</v>
      </c>
      <c r="I67" s="1071"/>
      <c r="J67" s="1071"/>
      <c r="K67" s="527"/>
      <c r="L67" s="527"/>
      <c r="M67" s="527"/>
      <c r="N67" s="527"/>
      <c r="O67" s="527"/>
      <c r="P67" s="527"/>
      <c r="Q67" s="527"/>
      <c r="R67" s="635"/>
      <c r="S67" s="361" t="s">
        <v>488</v>
      </c>
      <c r="T67" s="361">
        <v>4</v>
      </c>
      <c r="V67" s="361">
        <v>300</v>
      </c>
      <c r="W67" s="361">
        <f>Table2121367[[#This Row],[الوزن المتري]]*Table2121367[[#This Row],[العدد]]</f>
        <v>1200</v>
      </c>
      <c r="X67" s="635"/>
    </row>
    <row r="68" ht="18" customHeight="1">
      <c r="A68" s="1078"/>
      <c r="B68" s="671" t="s">
        <v>413</v>
      </c>
      <c r="C68" s="671">
        <f>C81</f>
        <v>1</v>
      </c>
      <c r="D68" s="541">
        <v>50</v>
      </c>
      <c r="E68" s="541">
        <f t="shared" si="17"/>
        <v>50</v>
      </c>
      <c r="F68" s="527"/>
      <c r="G68" s="527"/>
      <c r="H68" s="1071">
        <v>2</v>
      </c>
      <c r="I68" s="1071"/>
      <c r="J68" s="1071"/>
      <c r="K68" s="527"/>
      <c r="L68" s="527"/>
      <c r="M68" s="527"/>
      <c r="N68" s="527"/>
      <c r="O68" s="527"/>
      <c r="P68" s="527"/>
      <c r="Q68" s="527"/>
      <c r="R68" s="635"/>
      <c r="S68" s="361" t="s">
        <v>478</v>
      </c>
      <c r="T68" s="361">
        <v>4</v>
      </c>
      <c r="V68" s="638">
        <v>350</v>
      </c>
      <c r="W68" s="361">
        <f>Table2121367[[#This Row],[الوزن المتري]]*Table2121367[[#This Row],[العدد]]</f>
        <v>1400</v>
      </c>
      <c r="X68" s="635"/>
    </row>
    <row r="69" ht="20.4" customHeight="1">
      <c r="A69" s="1078"/>
      <c r="B69" s="671" t="s">
        <v>415</v>
      </c>
      <c r="C69" s="671">
        <v>4</v>
      </c>
      <c r="D69" s="541">
        <v>1.5</v>
      </c>
      <c r="E69" s="541">
        <f t="shared" si="17"/>
        <v>6</v>
      </c>
      <c r="F69" s="527"/>
      <c r="G69" s="527"/>
      <c r="H69" s="527"/>
      <c r="I69" s="527"/>
      <c r="J69" s="527"/>
      <c r="K69" s="527"/>
      <c r="L69" s="527"/>
      <c r="M69" s="527"/>
      <c r="N69" s="527"/>
      <c r="O69" s="527"/>
      <c r="P69" s="527"/>
      <c r="Q69" s="527"/>
      <c r="R69" s="635"/>
      <c r="S69" s="527" t="s">
        <v>479</v>
      </c>
      <c r="T69" s="527">
        <v>1</v>
      </c>
      <c r="U69" s="639" t="s">
        <v>480</v>
      </c>
      <c r="V69" s="527">
        <v>1425</v>
      </c>
      <c r="W69" s="361">
        <f>Table2121367[[#This Row],[الوزن المتري]]*Table2121367[[#This Row],[العدد]]</f>
        <v>1425</v>
      </c>
      <c r="X69" s="635"/>
    </row>
    <row r="70" ht="18" customHeight="1">
      <c r="A70" s="1078"/>
      <c r="B70" s="671" t="s">
        <v>417</v>
      </c>
      <c r="C70" s="671">
        <f>H71</f>
        <v>5</v>
      </c>
      <c r="D70" s="541">
        <v>1.5</v>
      </c>
      <c r="E70" s="541">
        <f t="shared" si="17"/>
        <v>7.5</v>
      </c>
      <c r="F70" s="527"/>
      <c r="G70" s="527"/>
      <c r="H70" s="1072" t="s">
        <v>392</v>
      </c>
      <c r="I70" s="1072"/>
      <c r="J70" s="1072"/>
      <c r="K70" s="527"/>
      <c r="L70" s="527"/>
      <c r="M70" s="527"/>
      <c r="N70" s="527"/>
      <c r="O70" s="527"/>
      <c r="P70" s="527"/>
      <c r="Q70" s="527"/>
      <c r="R70" s="635"/>
      <c r="S70" s="361" t="s">
        <v>481</v>
      </c>
      <c r="T70" s="527">
        <v>1</v>
      </c>
      <c r="U70" s="639"/>
      <c r="V70" s="527">
        <v>1000</v>
      </c>
      <c r="W70" s="361">
        <f>Table2121367[[#This Row],[الوزن المتري]]*Table2121367[[#This Row],[العدد]]</f>
        <v>1000</v>
      </c>
      <c r="X70" s="635"/>
    </row>
    <row r="71" ht="24.6" customHeight="1">
      <c r="A71" s="1078"/>
      <c r="B71" s="671" t="s">
        <v>419</v>
      </c>
      <c r="C71" s="671">
        <f>H68*2</f>
        <v>4</v>
      </c>
      <c r="D71" s="541">
        <v>1</v>
      </c>
      <c r="E71" s="541">
        <f t="shared" si="17"/>
        <v>4</v>
      </c>
      <c r="F71" s="527"/>
      <c r="G71" s="527"/>
      <c r="H71" s="672">
        <f>I131</f>
        <v>5</v>
      </c>
      <c r="I71" s="673" t="s">
        <v>394</v>
      </c>
      <c r="J71" s="672">
        <v>2</v>
      </c>
      <c r="K71" s="527"/>
      <c r="L71" s="527"/>
      <c r="M71" s="527"/>
      <c r="N71" s="527"/>
      <c r="O71" s="527"/>
      <c r="P71" s="527"/>
      <c r="Q71" s="527"/>
      <c r="R71" s="635"/>
      <c r="S71" s="527" t="s">
        <v>467</v>
      </c>
      <c r="W71" s="361">
        <f>SUM(W61:W69)*0.15</f>
        <v>12342.0675</v>
      </c>
      <c r="X71" s="635"/>
    </row>
    <row r="72" ht="18" customHeight="1">
      <c r="A72" s="1078"/>
      <c r="B72" s="671" t="s">
        <v>421</v>
      </c>
      <c r="C72" s="671">
        <f>H71*H68</f>
        <v>10</v>
      </c>
      <c r="D72" s="541">
        <v>1</v>
      </c>
      <c r="E72" s="541">
        <f t="shared" si="17"/>
        <v>10</v>
      </c>
      <c r="F72" s="527"/>
      <c r="G72" s="527"/>
      <c r="H72" s="527"/>
      <c r="I72" s="527"/>
      <c r="J72" s="527"/>
      <c r="K72" s="527"/>
      <c r="L72" s="527"/>
      <c r="M72" s="527"/>
      <c r="N72" s="527"/>
      <c r="O72" s="527"/>
      <c r="P72" s="527"/>
      <c r="Q72" s="527"/>
      <c r="R72" s="635"/>
      <c r="S72" s="361" t="s">
        <v>54</v>
      </c>
      <c r="W72" s="637">
        <f>SUBTOTAL(109,Table2121367[القيمة])</f>
        <v>95622.5175</v>
      </c>
      <c r="X72" s="635"/>
    </row>
    <row r="73" ht="18">
      <c r="A73" s="1078"/>
      <c r="B73" s="671" t="s">
        <v>423</v>
      </c>
      <c r="C73" s="671">
        <f>(H71+J71)*2</f>
        <v>14</v>
      </c>
      <c r="D73" s="541">
        <v>5.5</v>
      </c>
      <c r="E73" s="541">
        <f t="shared" si="17"/>
        <v>77</v>
      </c>
      <c r="F73" s="527"/>
      <c r="G73" s="527"/>
      <c r="H73" s="1073" t="s">
        <v>397</v>
      </c>
      <c r="I73" s="1073"/>
      <c r="J73" s="1073"/>
      <c r="K73" s="527"/>
      <c r="L73" s="527"/>
      <c r="M73" s="527"/>
      <c r="N73" s="527"/>
      <c r="O73" s="527"/>
      <c r="P73" s="527"/>
      <c r="Q73" s="527"/>
      <c r="R73" s="635"/>
      <c r="S73" s="1007"/>
      <c r="T73" s="1007"/>
      <c r="U73" s="1007"/>
      <c r="V73" s="1007"/>
      <c r="W73" s="1007"/>
      <c r="X73" s="635"/>
    </row>
    <row r="74" ht="21">
      <c r="A74" s="1078"/>
      <c r="B74" s="671" t="s">
        <v>425</v>
      </c>
      <c r="C74" s="671">
        <f>(H71+J71)*2</f>
        <v>14</v>
      </c>
      <c r="D74" s="541">
        <v>5</v>
      </c>
      <c r="E74" s="541">
        <f t="shared" si="17"/>
        <v>70</v>
      </c>
      <c r="F74" s="654"/>
      <c r="G74" s="654"/>
      <c r="H74" s="1088">
        <f>IF(B141=1,(J43-2-6)/(H68-1),IF(B141=2,(J43-2-7)/(H68-1),IF(B141=3,(J43-2-6)/(H68-1),IF(B141=4,(J43-2-8.5)/(H68-1),IF(B141=5,(J43-2-10)/(H68-1),"--------")))))</f>
        <v>341</v>
      </c>
      <c r="I74" s="1088"/>
      <c r="J74" s="1088"/>
      <c r="K74" s="654"/>
      <c r="L74" s="654"/>
      <c r="M74" s="654"/>
      <c r="N74" s="654"/>
      <c r="O74" s="654"/>
      <c r="P74" s="654"/>
      <c r="Q74" s="654"/>
      <c r="R74" s="635"/>
      <c r="S74" s="361" t="s">
        <v>514</v>
      </c>
      <c r="T74" s="361">
        <f>IF((T75*33&lt;=300),1,2)</f>
        <v>1</v>
      </c>
      <c r="V74" s="1089" t="s">
        <v>462</v>
      </c>
      <c r="W74" s="1089"/>
      <c r="X74" s="635"/>
    </row>
    <row r="75" ht="18">
      <c r="A75" s="1078"/>
      <c r="B75" s="671" t="s">
        <v>427</v>
      </c>
      <c r="C75" s="671">
        <f>H68*3</f>
        <v>6</v>
      </c>
      <c r="D75" s="541">
        <v>5</v>
      </c>
      <c r="E75" s="541">
        <f t="shared" si="17"/>
        <v>30</v>
      </c>
      <c r="F75" s="654"/>
      <c r="G75" s="654"/>
      <c r="H75" s="527"/>
      <c r="I75" s="527"/>
      <c r="J75" s="527"/>
      <c r="K75" s="654"/>
      <c r="L75" s="654"/>
      <c r="M75" s="654"/>
      <c r="N75" s="654"/>
      <c r="O75" s="654"/>
      <c r="P75" s="654"/>
      <c r="Q75" s="654"/>
      <c r="R75" s="635"/>
      <c r="S75" s="361" t="s">
        <v>515</v>
      </c>
      <c r="T75" s="361">
        <f>ROUND(Table1134[العرض]/40,0)</f>
        <v>9</v>
      </c>
      <c r="V75" s="1089"/>
      <c r="W75" s="1089"/>
      <c r="X75" s="635"/>
    </row>
    <row r="76" ht="18">
      <c r="A76" s="1078"/>
      <c r="B76" s="671" t="s">
        <v>429</v>
      </c>
      <c r="C76" s="671">
        <f>H68*3</f>
        <v>6</v>
      </c>
      <c r="D76" s="541">
        <v>5</v>
      </c>
      <c r="E76" s="541">
        <f t="shared" si="17"/>
        <v>30</v>
      </c>
      <c r="F76" s="654"/>
      <c r="G76" s="654"/>
      <c r="H76" s="1073" t="s">
        <v>347</v>
      </c>
      <c r="I76" s="1073"/>
      <c r="J76" s="1073"/>
      <c r="K76" s="654"/>
      <c r="L76" s="654"/>
      <c r="M76" s="654"/>
      <c r="N76" s="654"/>
      <c r="O76" s="654"/>
      <c r="P76" s="654"/>
      <c r="Q76" s="654"/>
      <c r="R76" s="635"/>
      <c r="S76" s="361" t="s">
        <v>450</v>
      </c>
      <c r="T76" s="361" t="s">
        <v>451</v>
      </c>
      <c r="U76" s="361" t="s">
        <v>452</v>
      </c>
      <c r="V76" s="361" t="s">
        <v>453</v>
      </c>
      <c r="W76" s="361" t="s">
        <v>454</v>
      </c>
      <c r="X76" s="635"/>
    </row>
    <row r="77" ht="18">
      <c r="A77" s="1078"/>
      <c r="B77" s="671" t="s">
        <v>431</v>
      </c>
      <c r="C77" s="671" t="str">
        <f>IF(H68&gt;2,(H68-2)*2,"0")</f>
        <v>0</v>
      </c>
      <c r="D77" s="541">
        <f>0.4*L46/1000</f>
        <v>112.8</v>
      </c>
      <c r="E77" s="541">
        <f t="shared" si="17"/>
        <v>0</v>
      </c>
      <c r="F77" s="654"/>
      <c r="G77" s="654"/>
      <c r="H77" s="674" t="s">
        <v>324</v>
      </c>
      <c r="I77" s="1074" t="s">
        <v>401</v>
      </c>
      <c r="J77" s="1074"/>
      <c r="K77" s="654"/>
      <c r="L77" s="654"/>
      <c r="M77" s="654"/>
      <c r="N77" s="654"/>
      <c r="O77" s="654"/>
      <c r="P77" s="654"/>
      <c r="Q77" s="654"/>
      <c r="R77" s="635"/>
      <c r="S77" s="361" t="s">
        <v>457</v>
      </c>
      <c r="T77" s="361">
        <v>4</v>
      </c>
      <c r="U77" s="361">
        <v>3</v>
      </c>
      <c r="V77" s="361">
        <v>4.8</v>
      </c>
      <c r="W77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15955.199999999999</v>
      </c>
      <c r="X77" s="635"/>
    </row>
    <row r="78" ht="18">
      <c r="A78" s="1078"/>
      <c r="B78" s="671" t="s">
        <v>433</v>
      </c>
      <c r="C78" s="671" t="str">
        <f>IF(H68&gt;2,(H68-2)*H71,"0")</f>
        <v>0</v>
      </c>
      <c r="D78" s="541">
        <f>0.2*L46/1000</f>
        <v>56.4</v>
      </c>
      <c r="E78" s="541">
        <f t="shared" si="17"/>
        <v>0</v>
      </c>
      <c r="F78" s="654"/>
      <c r="G78" s="654"/>
      <c r="H78" s="672">
        <f>IF(F141=1,"-------",IF(F141=5,"-------",I133))</f>
        <v>2</v>
      </c>
      <c r="I78" s="1073" t="str">
        <f>IF(H78="-------","-------",E114)</f>
        <v>4Χ220- 1Χ250</v>
      </c>
      <c r="J78" s="1073"/>
      <c r="K78" s="654"/>
      <c r="L78" s="654"/>
      <c r="M78" s="654"/>
      <c r="N78" s="654"/>
      <c r="O78" s="654"/>
      <c r="P78" s="654"/>
      <c r="Q78" s="654"/>
      <c r="R78" s="635"/>
      <c r="S78" s="361" t="s">
        <v>497</v>
      </c>
      <c r="T78" s="361">
        <v>2</v>
      </c>
      <c r="U78" s="361">
        <f>(Table1134[الامتداد]+Table1134[العرض])/100</f>
        <v>7.5</v>
      </c>
      <c r="V78" s="361">
        <v>3.63</v>
      </c>
      <c r="W78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15082.65</v>
      </c>
      <c r="X78" s="635"/>
    </row>
    <row r="79" ht="18">
      <c r="A79" s="1078"/>
      <c r="B79" s="671" t="s">
        <v>435</v>
      </c>
      <c r="C79" s="671">
        <f>C81</f>
        <v>1</v>
      </c>
      <c r="D79" s="541">
        <v>500</v>
      </c>
      <c r="E79" s="541">
        <f t="shared" si="17"/>
        <v>500</v>
      </c>
      <c r="F79" s="654"/>
      <c r="G79" s="654"/>
      <c r="H79" s="654"/>
      <c r="I79" s="654"/>
      <c r="J79" s="654"/>
      <c r="K79" s="654"/>
      <c r="L79" s="654"/>
      <c r="M79" s="654"/>
      <c r="N79" s="654"/>
      <c r="O79" s="654"/>
      <c r="P79" s="654"/>
      <c r="Q79" s="654"/>
      <c r="R79" s="635"/>
      <c r="S79" s="361" t="s">
        <v>516</v>
      </c>
      <c r="T79" s="361">
        <f>IF(AND(Table1134[العرض]&gt;=350,Table1134[العرض]&lt;=600,Table1134[الامتداد]&gt;=Table1134[العرض]),(Table1134[الامتداد]/50)+1,"NO")</f>
        <v>9</v>
      </c>
      <c r="U79" s="361">
        <f>MROUND(Table1134[العرض]/100,1)</f>
        <v>4</v>
      </c>
      <c r="V79" s="361">
        <v>1.6</v>
      </c>
      <c r="W79" s="361">
        <f>IF((Table1134[لون اللوفرز]=$AI$1),(Table212136714[[#This Row],[العدد]]*Table212136714[[#This Row],[الطول]]*Table212136714[[#This Row],[الوزن المتري]]*(($K$3/1000)+25)),IF((Table1134[لون اللوفرز]=$AI$2),(Table212136714[[#This Row],[العدد]]*Table212136714[[#This Row],[الطول]]*Table212136714[[#This Row],[الوزن المتري]]*(($K$3/1000)+65)),0))</f>
        <v>15955.2</v>
      </c>
      <c r="X79" s="635"/>
    </row>
    <row r="80" ht="18">
      <c r="A80" s="1078"/>
      <c r="B80" s="671" t="s">
        <v>437</v>
      </c>
      <c r="C80" s="671">
        <f>D124</f>
        <v>20</v>
      </c>
      <c r="D80" s="541">
        <v>130</v>
      </c>
      <c r="E80" s="541">
        <f t="shared" si="17"/>
        <v>2600</v>
      </c>
      <c r="F80" s="654"/>
      <c r="G80" s="654"/>
      <c r="H80" s="654"/>
      <c r="I80" s="654"/>
      <c r="J80" s="654"/>
      <c r="K80" s="654"/>
      <c r="L80" s="654"/>
      <c r="M80" s="654"/>
      <c r="N80" s="654"/>
      <c r="O80" s="654"/>
      <c r="P80" s="654"/>
      <c r="Q80" s="654"/>
      <c r="R80" s="635"/>
      <c r="S80" s="361" t="s">
        <v>517</v>
      </c>
      <c r="T80" s="361">
        <f>T74*3</f>
        <v>3</v>
      </c>
      <c r="U80" s="361">
        <f>MROUND(Table1134[الامتداد]*0.012,1)</f>
        <v>5</v>
      </c>
      <c r="V80" s="361">
        <v>125</v>
      </c>
      <c r="W80" s="361">
        <f>Table212136714[[#This Row],[الوزن المتري]]*Table212136714[[#This Row],[الطول]]*Table212136714[[#This Row],[العدد]]</f>
        <v>1875</v>
      </c>
      <c r="X80" s="635"/>
    </row>
    <row r="81" ht="18">
      <c r="A81" s="1078"/>
      <c r="B81" s="671" t="s">
        <v>352</v>
      </c>
      <c r="C81" s="671">
        <f>IF(J44&lt;=65,1,2)</f>
        <v>1</v>
      </c>
      <c r="D81" s="541">
        <f>IF(J44&lt;40,5000,10000)</f>
        <v>5000</v>
      </c>
      <c r="E81" s="541">
        <f t="shared" si="17"/>
        <v>5000</v>
      </c>
      <c r="F81" s="654"/>
      <c r="G81" s="654"/>
      <c r="H81" s="654"/>
      <c r="I81" s="654"/>
      <c r="J81" s="654"/>
      <c r="K81" s="654"/>
      <c r="L81" s="654"/>
      <c r="M81" s="654"/>
      <c r="N81" s="654"/>
      <c r="O81" s="654"/>
      <c r="P81" s="654"/>
      <c r="Q81" s="654"/>
      <c r="R81" s="635"/>
      <c r="S81" s="361" t="s">
        <v>460</v>
      </c>
      <c r="T81" s="361">
        <v>4</v>
      </c>
      <c r="V81" s="361">
        <f>Sheet2!B60</f>
        <v>600</v>
      </c>
      <c r="W81" s="361">
        <f>Table212136714[[#This Row],[العدد]]*Table212136714[[#This Row],[الوزن المتري]]</f>
        <v>2400</v>
      </c>
      <c r="X81" s="635"/>
    </row>
    <row r="82" ht="18">
      <c r="A82" s="1078"/>
      <c r="B82" s="671" t="s">
        <v>412</v>
      </c>
      <c r="C82" s="671">
        <f>IF(C91=1,0,1)</f>
        <v>1</v>
      </c>
      <c r="D82" s="541">
        <v>1000</v>
      </c>
      <c r="E82" s="541">
        <f t="shared" si="17"/>
        <v>1000</v>
      </c>
      <c r="F82" s="654"/>
      <c r="G82" s="654"/>
      <c r="H82" s="654"/>
      <c r="I82" s="654"/>
      <c r="J82" s="654"/>
      <c r="K82" s="654"/>
      <c r="L82" s="654"/>
      <c r="M82" s="654"/>
      <c r="N82" s="654"/>
      <c r="O82" s="654"/>
      <c r="P82" s="654"/>
      <c r="Q82" s="654"/>
      <c r="R82" s="635"/>
      <c r="S82" s="361" t="s">
        <v>475</v>
      </c>
      <c r="T82" s="361">
        <v>4</v>
      </c>
      <c r="V82" s="361">
        <f>Sheet2!B61</f>
        <v>900</v>
      </c>
      <c r="W82" s="361">
        <f>Table212136714[[#This Row],[الوزن المتري]]*Table212136714[[#This Row],[العدد]]</f>
        <v>3600</v>
      </c>
      <c r="X82" s="635"/>
    </row>
    <row r="83" ht="18">
      <c r="A83" s="1078"/>
      <c r="B83" s="671" t="s">
        <v>414</v>
      </c>
      <c r="C83" s="671">
        <f>(C66*2)-C84</f>
        <v>3</v>
      </c>
      <c r="D83" s="541">
        <v>150</v>
      </c>
      <c r="E83" s="541">
        <f t="shared" si="17"/>
        <v>450</v>
      </c>
      <c r="F83" s="654"/>
      <c r="G83" s="654"/>
      <c r="H83" s="654"/>
      <c r="I83" s="654"/>
      <c r="J83" s="654"/>
      <c r="K83" s="654"/>
      <c r="L83" s="654"/>
      <c r="M83" s="654"/>
      <c r="N83" s="654"/>
      <c r="O83" s="654"/>
      <c r="P83" s="654"/>
      <c r="Q83" s="654"/>
      <c r="R83" s="635"/>
      <c r="S83" s="361" t="s">
        <v>488</v>
      </c>
      <c r="T83" s="361">
        <v>4</v>
      </c>
      <c r="V83" s="361">
        <v>300</v>
      </c>
      <c r="W83" s="361">
        <f>Table212136714[[#This Row],[الوزن المتري]]*Table212136714[[#This Row],[العدد]]</f>
        <v>1200</v>
      </c>
      <c r="X83" s="635"/>
    </row>
    <row r="84" ht="18">
      <c r="A84" s="1078"/>
      <c r="B84" s="671" t="s">
        <v>416</v>
      </c>
      <c r="C84" s="671">
        <f>IF(C81=1,1,0)</f>
        <v>1</v>
      </c>
      <c r="D84" s="541">
        <v>150</v>
      </c>
      <c r="E84" s="541">
        <f t="shared" si="17"/>
        <v>150</v>
      </c>
      <c r="F84" s="654"/>
      <c r="G84" s="654"/>
      <c r="H84" s="654"/>
      <c r="I84" s="654"/>
      <c r="J84" s="654"/>
      <c r="K84" s="654"/>
      <c r="L84" s="654"/>
      <c r="M84" s="654"/>
      <c r="N84" s="654"/>
      <c r="O84" s="654"/>
      <c r="P84" s="654"/>
      <c r="Q84" s="654"/>
      <c r="R84" s="635"/>
      <c r="S84" s="361" t="s">
        <v>478</v>
      </c>
      <c r="T84" s="361">
        <v>4</v>
      </c>
      <c r="V84" s="638">
        <v>350</v>
      </c>
      <c r="W84" s="361">
        <f>Table212136714[[#This Row],[الوزن المتري]]*Table212136714[[#This Row],[العدد]]</f>
        <v>1400</v>
      </c>
      <c r="X84" s="635"/>
    </row>
    <row r="85" ht="20.4">
      <c r="A85" s="1078"/>
      <c r="B85" s="671" t="s">
        <v>418</v>
      </c>
      <c r="C85" s="671">
        <f>IF(D52&gt;700,C52,0)</f>
        <v>0</v>
      </c>
      <c r="D85" s="541">
        <v>440</v>
      </c>
      <c r="E85" s="541">
        <f t="shared" si="17"/>
        <v>0</v>
      </c>
      <c r="F85" s="654"/>
      <c r="G85" s="654"/>
      <c r="H85" s="654"/>
      <c r="I85" s="654"/>
      <c r="J85" s="654"/>
      <c r="K85" s="654"/>
      <c r="L85" s="654"/>
      <c r="M85" s="654"/>
      <c r="N85" s="654"/>
      <c r="O85" s="654"/>
      <c r="P85" s="654"/>
      <c r="Q85" s="654"/>
      <c r="R85" s="635"/>
      <c r="S85" s="527" t="s">
        <v>479</v>
      </c>
      <c r="T85" s="527">
        <v>1</v>
      </c>
      <c r="U85" s="639" t="s">
        <v>480</v>
      </c>
      <c r="V85" s="527">
        <v>1425</v>
      </c>
      <c r="W85" s="361">
        <f>Table212136714[[#This Row],[الوزن المتري]]*Table212136714[[#This Row],[العدد]]</f>
        <v>1425</v>
      </c>
      <c r="X85" s="635"/>
    </row>
    <row r="86" ht="18">
      <c r="A86" s="1078"/>
      <c r="B86" s="671" t="s">
        <v>420</v>
      </c>
      <c r="C86" s="671">
        <f>C66</f>
        <v>2</v>
      </c>
      <c r="D86" s="541">
        <f>[3]Sheet2!B35</f>
        <v>750</v>
      </c>
      <c r="E86" s="541">
        <f t="shared" si="17"/>
        <v>1500</v>
      </c>
      <c r="F86" s="527"/>
      <c r="G86" s="527"/>
      <c r="H86" s="527"/>
      <c r="I86" s="527"/>
      <c r="J86" s="527"/>
      <c r="K86" s="527"/>
      <c r="L86" s="527"/>
      <c r="M86" s="527"/>
      <c r="N86" s="527"/>
      <c r="O86" s="527"/>
      <c r="P86" s="527"/>
      <c r="Q86" s="527"/>
      <c r="R86" s="635"/>
      <c r="S86" s="361" t="s">
        <v>481</v>
      </c>
      <c r="T86" s="527">
        <f>T79</f>
        <v>9</v>
      </c>
      <c r="U86" s="639"/>
      <c r="V86" s="527">
        <v>250</v>
      </c>
      <c r="W86" s="361">
        <f>Table212136714[[#This Row],[الوزن المتري]]*Table212136714[[#This Row],[العدد]]</f>
        <v>2250</v>
      </c>
      <c r="X86" s="635"/>
    </row>
    <row r="87" ht="18">
      <c r="A87" s="1078"/>
      <c r="B87" s="671" t="s">
        <v>422</v>
      </c>
      <c r="C87" s="671">
        <f>C66</f>
        <v>2</v>
      </c>
      <c r="D87" s="541">
        <f>[3]Sheet2!B36</f>
        <v>750</v>
      </c>
      <c r="E87" s="541">
        <f t="shared" si="17"/>
        <v>1500</v>
      </c>
      <c r="F87" s="527"/>
      <c r="G87" s="527"/>
      <c r="H87" s="527"/>
      <c r="I87" s="527"/>
      <c r="J87" s="527"/>
      <c r="K87" s="527"/>
      <c r="L87" s="527"/>
      <c r="M87" s="527"/>
      <c r="N87" s="527"/>
      <c r="O87" s="527"/>
      <c r="P87" s="527"/>
      <c r="Q87" s="527"/>
      <c r="R87" s="635"/>
      <c r="S87" s="527" t="s">
        <v>467</v>
      </c>
      <c r="W87" s="361">
        <f>SUM(W77:W86)*0.15</f>
        <v>9171.4575</v>
      </c>
      <c r="X87" s="635"/>
    </row>
    <row r="88" ht="18">
      <c r="A88" s="1078"/>
      <c r="B88" s="671" t="s">
        <v>424</v>
      </c>
      <c r="C88" s="671">
        <f>C72</f>
        <v>10</v>
      </c>
      <c r="D88" s="541">
        <v>50</v>
      </c>
      <c r="E88" s="541">
        <f t="shared" si="17"/>
        <v>500</v>
      </c>
      <c r="F88" s="527"/>
      <c r="G88" s="527"/>
      <c r="H88" s="527"/>
      <c r="I88" s="527"/>
      <c r="J88" s="527"/>
      <c r="K88" s="527"/>
      <c r="L88" s="527"/>
      <c r="M88" s="527"/>
      <c r="N88" s="527"/>
      <c r="O88" s="527"/>
      <c r="P88" s="527"/>
      <c r="Q88" s="527"/>
      <c r="R88" s="635"/>
      <c r="S88" s="361" t="s">
        <v>54</v>
      </c>
      <c r="W88" s="637">
        <f>SUBTOTAL(109,Table212136714[القيمة])</f>
        <v>70314.5075</v>
      </c>
      <c r="X88" s="635"/>
    </row>
    <row r="89" ht="18">
      <c r="A89" s="1078"/>
      <c r="B89" s="671" t="s">
        <v>426</v>
      </c>
      <c r="C89" s="671">
        <f>C66</f>
        <v>2</v>
      </c>
      <c r="D89" s="541">
        <v>260</v>
      </c>
      <c r="E89" s="541">
        <f t="shared" si="17"/>
        <v>520</v>
      </c>
      <c r="F89" s="654"/>
      <c r="G89" s="654"/>
      <c r="H89" s="654"/>
      <c r="I89" s="654"/>
      <c r="J89" s="654"/>
      <c r="K89" s="654"/>
      <c r="L89" s="654"/>
      <c r="M89" s="654"/>
      <c r="N89" s="654"/>
      <c r="O89" s="654"/>
      <c r="P89" s="654"/>
      <c r="Q89" s="654"/>
      <c r="R89" s="635"/>
      <c r="S89" s="1007"/>
      <c r="T89" s="1007"/>
      <c r="U89" s="1007"/>
      <c r="V89" s="1007"/>
      <c r="W89" s="1007"/>
      <c r="X89" s="635"/>
    </row>
    <row r="90" ht="18">
      <c r="A90" s="1078"/>
      <c r="B90" s="671" t="s">
        <v>428</v>
      </c>
      <c r="C90" s="671">
        <f>C66</f>
        <v>2</v>
      </c>
      <c r="D90" s="541">
        <v>380</v>
      </c>
      <c r="E90" s="541">
        <f t="shared" si="17"/>
        <v>760</v>
      </c>
      <c r="F90" s="654"/>
      <c r="G90" s="654"/>
      <c r="H90" s="654"/>
      <c r="I90" s="654"/>
      <c r="J90" s="654"/>
      <c r="K90" s="654"/>
      <c r="L90" s="654"/>
      <c r="M90" s="654"/>
      <c r="N90" s="654"/>
      <c r="O90" s="654"/>
      <c r="P90" s="654"/>
      <c r="Q90" s="654"/>
      <c r="R90" s="635"/>
    </row>
    <row r="91" ht="18">
      <c r="A91" s="1078"/>
      <c r="B91" s="671" t="s">
        <v>430</v>
      </c>
      <c r="C91" s="671">
        <f>IF(C81=2,1,0)</f>
        <v>0</v>
      </c>
      <c r="D91" s="541">
        <v>5000</v>
      </c>
      <c r="E91" s="541">
        <f t="shared" si="17"/>
        <v>0</v>
      </c>
      <c r="F91" s="654"/>
      <c r="G91" s="654"/>
      <c r="H91" s="654"/>
      <c r="I91" s="654"/>
      <c r="J91" s="654"/>
      <c r="K91" s="654"/>
      <c r="L91" s="654"/>
      <c r="M91" s="654"/>
      <c r="N91" s="654"/>
      <c r="O91" s="654"/>
      <c r="P91" s="654"/>
      <c r="Q91" s="654"/>
      <c r="R91" s="635"/>
    </row>
    <row r="92" ht="18">
      <c r="A92" s="1078"/>
      <c r="B92" s="671" t="s">
        <v>432</v>
      </c>
      <c r="C92" s="671">
        <f>C91</f>
        <v>0</v>
      </c>
      <c r="D92" s="541">
        <v>1000</v>
      </c>
      <c r="E92" s="541">
        <f t="shared" si="17"/>
        <v>0</v>
      </c>
      <c r="F92" s="654"/>
      <c r="G92" s="654"/>
      <c r="H92" s="654"/>
      <c r="I92" s="654"/>
      <c r="J92" s="654"/>
      <c r="K92" s="654"/>
      <c r="L92" s="654"/>
      <c r="M92" s="654"/>
      <c r="N92" s="654"/>
      <c r="O92" s="654"/>
      <c r="P92" s="654"/>
      <c r="Q92" s="654"/>
      <c r="R92" s="635"/>
    </row>
    <row r="93" ht="18">
      <c r="A93" s="1078"/>
      <c r="B93" s="671" t="s">
        <v>434</v>
      </c>
      <c r="C93" s="671">
        <f>C61</f>
        <v>0</v>
      </c>
      <c r="D93" s="541">
        <v>175</v>
      </c>
      <c r="E93" s="541">
        <f t="shared" si="17"/>
        <v>0</v>
      </c>
      <c r="F93" s="654"/>
      <c r="G93" s="654"/>
      <c r="H93" s="654"/>
      <c r="I93" s="654"/>
      <c r="J93" s="654"/>
      <c r="K93" s="654"/>
      <c r="L93" s="654"/>
      <c r="M93" s="654"/>
      <c r="N93" s="654"/>
      <c r="O93" s="654"/>
      <c r="P93" s="654"/>
      <c r="Q93" s="654"/>
      <c r="R93" s="635"/>
    </row>
    <row r="94" ht="18">
      <c r="A94" s="1078"/>
      <c r="B94" s="671" t="s">
        <v>436</v>
      </c>
      <c r="C94" s="671">
        <f>C66</f>
        <v>2</v>
      </c>
      <c r="D94" s="541">
        <v>45</v>
      </c>
      <c r="E94" s="541">
        <f t="shared" si="17"/>
        <v>90</v>
      </c>
      <c r="F94" s="654"/>
      <c r="G94" s="654"/>
      <c r="H94" s="654"/>
      <c r="I94" s="654"/>
      <c r="J94" s="654"/>
      <c r="K94" s="654"/>
      <c r="L94" s="654"/>
      <c r="M94" s="654"/>
      <c r="N94" s="654"/>
      <c r="O94" s="654"/>
      <c r="P94" s="654"/>
      <c r="Q94" s="654"/>
      <c r="R94" s="635"/>
    </row>
    <row r="95" ht="18">
      <c r="A95" s="1078"/>
      <c r="B95" s="671" t="s">
        <v>438</v>
      </c>
      <c r="C95" s="675">
        <v>0</v>
      </c>
      <c r="D95" s="541">
        <v>0</v>
      </c>
      <c r="E95" s="541">
        <v>0</v>
      </c>
      <c r="F95" s="654"/>
      <c r="G95" s="654"/>
      <c r="H95" s="654"/>
      <c r="I95" s="654"/>
      <c r="J95" s="654"/>
      <c r="K95" s="654"/>
      <c r="L95" s="654"/>
      <c r="M95" s="654"/>
      <c r="N95" s="654"/>
      <c r="O95" s="654"/>
      <c r="P95" s="654"/>
      <c r="Q95" s="654"/>
      <c r="R95" s="635"/>
    </row>
    <row r="96" ht="18">
      <c r="A96" s="1078"/>
      <c r="B96" s="675" t="s">
        <v>54</v>
      </c>
      <c r="D96" s="595"/>
      <c r="E96" s="595">
        <f>SUBTOTAL(109,Table15139[قيمة])</f>
        <v>36821.722</v>
      </c>
      <c r="F96" s="654"/>
      <c r="G96" s="654"/>
      <c r="H96" s="654"/>
      <c r="I96" s="654"/>
      <c r="J96" s="654"/>
      <c r="K96" s="654"/>
      <c r="L96" s="654"/>
      <c r="M96" s="654"/>
      <c r="N96" s="654"/>
      <c r="O96" s="654"/>
      <c r="P96" s="654"/>
      <c r="Q96" s="654"/>
      <c r="R96" s="635"/>
    </row>
    <row r="97" ht="18">
      <c r="A97" s="1078"/>
      <c r="B97" s="676"/>
      <c r="C97" s="527"/>
      <c r="D97" s="527"/>
      <c r="E97" s="527"/>
      <c r="F97" s="527"/>
      <c r="G97" s="527"/>
      <c r="H97" s="527"/>
      <c r="I97" s="527"/>
      <c r="J97" s="527"/>
      <c r="K97" s="527"/>
      <c r="L97" s="527"/>
      <c r="M97" s="527"/>
      <c r="N97" s="527"/>
      <c r="O97" s="617"/>
      <c r="P97" s="527"/>
      <c r="Q97" s="677"/>
      <c r="R97" s="635"/>
    </row>
    <row r="98" ht="18">
      <c r="A98" s="1078"/>
      <c r="B98" s="676"/>
      <c r="C98" s="527"/>
      <c r="D98" s="527"/>
      <c r="E98" s="527"/>
      <c r="F98" s="527"/>
      <c r="G98" s="527"/>
      <c r="H98" s="527"/>
      <c r="I98" s="527"/>
      <c r="J98" s="527"/>
      <c r="K98" s="527"/>
      <c r="L98" s="527"/>
      <c r="M98" s="527"/>
      <c r="N98" s="527"/>
      <c r="O98" s="617"/>
      <c r="P98" s="527"/>
      <c r="Q98" s="677"/>
      <c r="R98" s="635"/>
    </row>
    <row r="99" ht="18">
      <c r="A99" s="1078"/>
      <c r="B99" s="676"/>
      <c r="C99" s="527"/>
      <c r="D99" s="527"/>
      <c r="E99" s="527"/>
      <c r="F99" s="527"/>
      <c r="G99" s="527"/>
      <c r="H99" s="527"/>
      <c r="I99" s="527"/>
      <c r="J99" s="527"/>
      <c r="K99" s="527"/>
      <c r="L99" s="527"/>
      <c r="M99" s="527"/>
      <c r="N99" s="527"/>
      <c r="O99" s="617"/>
      <c r="P99" s="527"/>
      <c r="Q99" s="677"/>
      <c r="R99" s="635"/>
    </row>
    <row r="100" ht="18">
      <c r="A100" s="1078"/>
      <c r="B100" s="527"/>
      <c r="C100" s="527"/>
      <c r="D100" s="527"/>
      <c r="E100" s="527"/>
      <c r="F100" s="527"/>
      <c r="G100" s="527"/>
      <c r="H100" s="527"/>
      <c r="I100" s="527"/>
      <c r="J100" s="527"/>
      <c r="K100" s="527"/>
      <c r="L100" s="527"/>
      <c r="M100" s="527"/>
      <c r="N100" s="527"/>
      <c r="O100" s="527"/>
      <c r="P100" s="527"/>
      <c r="Q100" s="677"/>
      <c r="R100" s="635"/>
    </row>
    <row r="101" ht="18">
      <c r="A101" s="1078"/>
      <c r="B101" s="1056" t="str">
        <f>K42</f>
        <v>اسم العميل </v>
      </c>
      <c r="C101" s="1057"/>
      <c r="D101" s="1057"/>
      <c r="E101" s="678"/>
      <c r="F101" s="679" t="str">
        <f>L44</f>
        <v>عميل</v>
      </c>
      <c r="G101" s="678"/>
      <c r="H101" s="678"/>
      <c r="I101" s="678"/>
      <c r="J101" s="678"/>
      <c r="K101" s="678"/>
      <c r="L101" s="678"/>
      <c r="M101" s="678"/>
      <c r="N101" s="680"/>
      <c r="O101" s="681"/>
      <c r="P101" s="682"/>
      <c r="Q101" s="683"/>
      <c r="R101" s="635"/>
    </row>
    <row r="102" ht="18">
      <c r="A102" s="1078"/>
      <c r="B102" s="684"/>
      <c r="C102" s="534"/>
      <c r="D102" s="534"/>
      <c r="E102" s="534"/>
      <c r="F102" s="685" t="str">
        <f>I45</f>
        <v>مقاس البي في سي </v>
      </c>
      <c r="G102" s="686"/>
      <c r="H102" s="686"/>
      <c r="I102" s="686"/>
      <c r="J102" s="687"/>
      <c r="K102" s="682"/>
      <c r="L102" s="534">
        <f>J45</f>
        <v>349</v>
      </c>
      <c r="M102" s="534" t="str">
        <f>K45</f>
        <v>Χ</v>
      </c>
      <c r="N102" s="1069">
        <f>L45</f>
        <v>372</v>
      </c>
      <c r="O102" s="1070"/>
      <c r="P102" s="534"/>
      <c r="Q102" s="683"/>
      <c r="R102" s="635"/>
    </row>
    <row r="103" ht="18">
      <c r="A103" s="1078"/>
      <c r="B103" s="688"/>
      <c r="C103" s="689"/>
      <c r="D103" s="689"/>
      <c r="E103" s="689"/>
      <c r="F103" s="688" t="str">
        <f>L108</f>
        <v>لون البي في سي </v>
      </c>
      <c r="G103" s="689"/>
      <c r="H103" s="689"/>
      <c r="I103" s="689"/>
      <c r="J103" s="690"/>
      <c r="K103" s="1058" t="str">
        <f>L109</f>
        <v>بيج  Ral 1013</v>
      </c>
      <c r="L103" s="1059"/>
      <c r="M103" s="1059"/>
      <c r="N103" s="1059"/>
      <c r="O103" s="1060"/>
      <c r="P103" s="534"/>
      <c r="Q103" s="683"/>
      <c r="R103" s="635"/>
    </row>
    <row r="104" ht="18">
      <c r="A104" s="1078"/>
      <c r="B104" s="527"/>
      <c r="C104" s="527"/>
      <c r="D104" s="527"/>
      <c r="E104" s="527"/>
      <c r="F104" s="527"/>
      <c r="G104" s="527"/>
      <c r="H104" s="527"/>
      <c r="I104" s="527"/>
      <c r="J104" s="527"/>
      <c r="K104" s="527"/>
      <c r="L104" s="527"/>
      <c r="M104" s="527"/>
      <c r="N104" s="527"/>
      <c r="O104" s="527"/>
      <c r="P104" s="527"/>
      <c r="Q104" s="677"/>
      <c r="R104" s="635"/>
    </row>
    <row r="105" ht="18">
      <c r="A105" s="1078"/>
      <c r="B105" s="691" t="s">
        <v>337</v>
      </c>
      <c r="C105" s="1061">
        <f>[2]Royal!J47</f>
        <v>0</v>
      </c>
      <c r="D105" s="1062"/>
      <c r="E105" s="1062"/>
      <c r="F105" s="1062"/>
      <c r="G105" s="1063"/>
      <c r="H105" s="691">
        <v>1</v>
      </c>
      <c r="I105" s="691"/>
      <c r="J105" s="691"/>
      <c r="K105" s="527"/>
      <c r="L105" s="527"/>
      <c r="M105" s="527"/>
      <c r="N105" s="527"/>
      <c r="O105" s="527"/>
      <c r="P105" s="527"/>
      <c r="Q105" s="677"/>
      <c r="R105" s="635"/>
    </row>
    <row r="106" ht="18">
      <c r="A106" s="1078"/>
      <c r="B106" s="691" t="s">
        <v>338</v>
      </c>
      <c r="C106" s="691"/>
      <c r="D106" s="691"/>
      <c r="E106" s="691"/>
      <c r="F106" s="691"/>
      <c r="G106" s="1055" t="s">
        <v>339</v>
      </c>
      <c r="H106" s="1055"/>
      <c r="I106" s="691"/>
      <c r="J106" s="691"/>
      <c r="K106" s="527"/>
      <c r="L106" s="1000" t="s">
        <v>340</v>
      </c>
      <c r="M106" s="1001"/>
      <c r="N106" s="1002"/>
      <c r="O106" s="527"/>
      <c r="P106" s="527"/>
      <c r="Q106" s="677"/>
      <c r="R106" s="635"/>
    </row>
    <row r="107" ht="18">
      <c r="A107" s="1078"/>
      <c r="B107" s="691" t="s">
        <v>340</v>
      </c>
      <c r="C107" s="691"/>
      <c r="D107" s="691"/>
      <c r="E107" s="691"/>
      <c r="F107" s="691"/>
      <c r="G107" s="1037" t="s">
        <v>341</v>
      </c>
      <c r="H107" s="1038"/>
      <c r="I107" s="1038"/>
      <c r="J107" s="1039"/>
      <c r="K107" s="527"/>
      <c r="L107" s="1040" t="str">
        <f>IF(C139=1,C136,IF(C139=2,C137,G107))</f>
        <v>بيج  Ral 1013</v>
      </c>
      <c r="M107" s="1041"/>
      <c r="N107" s="1042"/>
      <c r="O107" s="527"/>
      <c r="P107" s="527"/>
      <c r="Q107" s="677"/>
      <c r="R107" s="635"/>
    </row>
    <row r="108" ht="18">
      <c r="A108" s="1078"/>
      <c r="B108" s="691" t="s">
        <v>342</v>
      </c>
      <c r="C108" s="691"/>
      <c r="D108" s="691"/>
      <c r="E108" s="691"/>
      <c r="F108" s="691"/>
      <c r="G108" s="1043" t="s">
        <v>343</v>
      </c>
      <c r="H108" s="1024"/>
      <c r="I108" s="1024"/>
      <c r="J108" s="1025"/>
      <c r="K108" s="527"/>
      <c r="L108" s="973" t="s">
        <v>342</v>
      </c>
      <c r="M108" s="974"/>
      <c r="N108" s="975"/>
      <c r="O108" s="527"/>
      <c r="P108" s="527"/>
      <c r="Q108" s="677"/>
      <c r="R108" s="635"/>
    </row>
    <row r="109" ht="18">
      <c r="A109" s="1078"/>
      <c r="B109" s="691" t="s">
        <v>344</v>
      </c>
      <c r="C109" s="691"/>
      <c r="D109" s="691"/>
      <c r="E109" s="691"/>
      <c r="F109" s="691"/>
      <c r="G109" s="691"/>
      <c r="H109" s="691"/>
      <c r="I109" s="691"/>
      <c r="J109" s="691"/>
      <c r="K109" s="527"/>
      <c r="L109" s="1044" t="str">
        <f>IF(D142=1,D136,IF(D142=2,D137,IF(D142=3,D138,IF(D142=4,D139,IF(D142=5,D140,G108)))))</f>
        <v>بيج  Ral 1013</v>
      </c>
      <c r="M109" s="1045"/>
      <c r="N109" s="1046"/>
      <c r="O109" s="527"/>
      <c r="P109" s="527"/>
      <c r="Q109" s="677"/>
      <c r="R109" s="635"/>
    </row>
    <row r="110" ht="18">
      <c r="A110" s="1078"/>
      <c r="B110" s="691"/>
      <c r="C110" s="693" t="s">
        <v>125</v>
      </c>
      <c r="D110" s="694">
        <f>Table1134[العرض]</f>
        <v>350</v>
      </c>
      <c r="E110" s="695" t="s">
        <v>164</v>
      </c>
      <c r="F110" s="696">
        <f>Table1134[الامتداد]</f>
        <v>400</v>
      </c>
      <c r="G110" s="691"/>
      <c r="H110" s="691"/>
      <c r="I110" s="691"/>
      <c r="J110" s="691"/>
      <c r="K110" s="527"/>
      <c r="L110" s="1047" t="s">
        <v>439</v>
      </c>
      <c r="M110" s="1048"/>
      <c r="N110" s="1048"/>
      <c r="O110" s="527"/>
      <c r="P110" s="527"/>
      <c r="Q110" s="677"/>
      <c r="R110" s="635"/>
    </row>
    <row r="111" ht="18">
      <c r="A111" s="1078"/>
      <c r="B111" s="691"/>
      <c r="C111" s="691"/>
      <c r="D111" s="691"/>
      <c r="E111" s="691"/>
      <c r="F111" s="691"/>
      <c r="G111" s="691">
        <v>5</v>
      </c>
      <c r="H111" s="691"/>
      <c r="I111" s="691"/>
      <c r="J111" s="691"/>
      <c r="K111" s="527"/>
      <c r="L111" s="1049" t="str">
        <f>IF(J139=1,"-------",IF(J139=2,J137,J138))</f>
        <v>صونفي </v>
      </c>
      <c r="M111" s="1050"/>
      <c r="N111" s="1051"/>
      <c r="O111" s="527"/>
      <c r="P111" s="527"/>
      <c r="Q111" s="677"/>
      <c r="R111" s="635"/>
    </row>
    <row r="112" ht="18">
      <c r="A112" s="1078"/>
      <c r="B112" s="691" t="s">
        <v>345</v>
      </c>
      <c r="C112" s="691"/>
      <c r="D112" s="691"/>
      <c r="E112" s="691"/>
      <c r="F112" s="691"/>
      <c r="G112" s="691"/>
      <c r="H112" s="691"/>
      <c r="I112" s="691"/>
      <c r="J112" s="691"/>
      <c r="K112" s="527"/>
      <c r="L112" s="1049"/>
      <c r="M112" s="1050"/>
      <c r="N112" s="1051"/>
      <c r="O112" s="527"/>
      <c r="P112" s="527"/>
      <c r="Q112" s="677"/>
      <c r="R112" s="635"/>
    </row>
    <row r="113" ht="18">
      <c r="A113" s="1078"/>
      <c r="B113" s="691" t="s">
        <v>346</v>
      </c>
      <c r="C113" s="691"/>
      <c r="D113" s="691"/>
      <c r="E113" s="691"/>
      <c r="F113" s="691"/>
      <c r="G113" s="691"/>
      <c r="H113" s="691"/>
      <c r="I113" s="691"/>
      <c r="J113" s="691"/>
      <c r="K113" s="527"/>
      <c r="L113" s="1052" t="str">
        <f>IF('[2]Cutting Ro-1'!Q139=1,"Τηλεχειρισμος",IF('[2]Cutting Ro-1'!Q139=2,"-------","Διακοπτης"))</f>
        <v>Διακοπτης</v>
      </c>
      <c r="M113" s="1053"/>
      <c r="N113" s="1054"/>
      <c r="O113" s="527"/>
      <c r="P113" s="527"/>
      <c r="Q113" s="677"/>
      <c r="R113" s="635"/>
    </row>
    <row r="114" ht="18">
      <c r="A114" s="1078"/>
      <c r="B114" s="691" t="s">
        <v>347</v>
      </c>
      <c r="C114" s="1022" t="s">
        <v>348</v>
      </c>
      <c r="D114" s="1023"/>
      <c r="E114" s="1024" t="s">
        <v>349</v>
      </c>
      <c r="F114" s="1025"/>
      <c r="G114" s="691"/>
      <c r="H114" s="691"/>
      <c r="I114" s="691"/>
      <c r="J114" s="691"/>
      <c r="K114" s="527"/>
      <c r="L114" s="527"/>
      <c r="M114" s="527"/>
      <c r="N114" s="527"/>
      <c r="O114" s="527"/>
      <c r="P114" s="527"/>
      <c r="Q114" s="677"/>
      <c r="R114" s="635"/>
    </row>
    <row r="115" ht="18">
      <c r="A115" s="1078"/>
      <c r="B115" s="691" t="s">
        <v>350</v>
      </c>
      <c r="C115" s="691"/>
      <c r="D115" s="691"/>
      <c r="E115" s="691"/>
      <c r="F115" s="691"/>
      <c r="G115" s="691"/>
      <c r="H115" s="691"/>
      <c r="I115" s="691"/>
      <c r="J115" s="691"/>
      <c r="K115" s="527"/>
      <c r="L115" s="527"/>
      <c r="M115" s="527"/>
      <c r="N115" s="527"/>
      <c r="O115" s="527"/>
      <c r="P115" s="527"/>
      <c r="Q115" s="677"/>
      <c r="R115" s="635"/>
    </row>
    <row r="116" ht="18">
      <c r="A116" s="1078"/>
      <c r="B116" s="691" t="s">
        <v>351</v>
      </c>
      <c r="C116" s="691"/>
      <c r="D116" s="691"/>
      <c r="E116" s="691"/>
      <c r="F116" s="691"/>
      <c r="G116" s="691"/>
      <c r="H116" s="691"/>
      <c r="I116" s="691"/>
      <c r="J116" s="691"/>
      <c r="K116" s="527"/>
      <c r="L116" s="527"/>
      <c r="M116" s="527"/>
      <c r="N116" s="527"/>
      <c r="O116" s="527"/>
      <c r="P116" s="527"/>
      <c r="Q116" s="677"/>
      <c r="R116" s="635"/>
    </row>
    <row r="117" ht="18">
      <c r="A117" s="1078"/>
      <c r="B117" s="691"/>
      <c r="C117" s="691"/>
      <c r="D117" s="691"/>
      <c r="E117" s="691"/>
      <c r="F117" s="691"/>
      <c r="G117" s="691"/>
      <c r="H117" s="691"/>
      <c r="I117" s="691"/>
      <c r="J117" s="691"/>
      <c r="K117" s="527"/>
      <c r="L117" s="527"/>
      <c r="M117" s="527"/>
      <c r="N117" s="527"/>
      <c r="O117" s="527"/>
      <c r="P117" s="527"/>
      <c r="Q117" s="677"/>
      <c r="R117" s="635"/>
    </row>
    <row r="118" ht="18">
      <c r="A118" s="1078"/>
      <c r="B118" s="691" t="s">
        <v>352</v>
      </c>
      <c r="C118" s="691"/>
      <c r="D118" s="691"/>
      <c r="E118" s="691"/>
      <c r="F118" s="691"/>
      <c r="G118" s="691"/>
      <c r="H118" s="691"/>
      <c r="I118" s="691"/>
      <c r="J118" s="691"/>
      <c r="K118" s="527"/>
      <c r="L118" s="527"/>
      <c r="M118" s="527"/>
      <c r="N118" s="527"/>
      <c r="O118" s="527"/>
      <c r="P118" s="527"/>
      <c r="Q118" s="677"/>
      <c r="R118" s="635"/>
    </row>
    <row r="119" ht="18">
      <c r="A119" s="1078"/>
      <c r="B119" s="691"/>
      <c r="C119" s="691"/>
      <c r="D119" s="1055" t="s">
        <v>353</v>
      </c>
      <c r="E119" s="1055"/>
      <c r="F119" s="1055"/>
      <c r="G119" s="691" t="s">
        <v>354</v>
      </c>
      <c r="H119" s="691"/>
      <c r="I119" s="691"/>
      <c r="J119" s="691"/>
      <c r="K119" s="527"/>
      <c r="L119" s="527"/>
      <c r="M119" s="527"/>
      <c r="N119" s="527"/>
      <c r="O119" s="527"/>
      <c r="P119" s="527"/>
      <c r="Q119" s="677"/>
      <c r="R119" s="635"/>
    </row>
    <row r="120" ht="18">
      <c r="A120" s="1078"/>
      <c r="B120" s="1055" t="s">
        <v>355</v>
      </c>
      <c r="C120" s="1055"/>
      <c r="D120" s="1055"/>
      <c r="E120" s="691"/>
      <c r="F120" s="691"/>
      <c r="G120" s="691"/>
      <c r="H120" s="691"/>
      <c r="I120" s="691"/>
      <c r="J120" s="691"/>
      <c r="K120" s="527"/>
      <c r="L120" s="527"/>
      <c r="M120" s="527"/>
      <c r="N120" s="527"/>
      <c r="O120" s="527"/>
      <c r="P120" s="527"/>
      <c r="Q120" s="677"/>
      <c r="R120" s="635"/>
    </row>
    <row r="121" ht="18">
      <c r="A121" s="1078"/>
      <c r="B121" s="1022" t="s">
        <v>356</v>
      </c>
      <c r="C121" s="1023"/>
      <c r="D121" s="697">
        <f>C214</f>
        <v>3</v>
      </c>
      <c r="E121" s="691"/>
      <c r="F121" s="691"/>
      <c r="G121" s="691"/>
      <c r="H121" s="691"/>
      <c r="I121" s="691"/>
      <c r="J121" s="691"/>
      <c r="K121" s="527"/>
      <c r="L121" s="527"/>
      <c r="M121" s="527"/>
      <c r="N121" s="527"/>
      <c r="O121" s="527"/>
      <c r="P121" s="527"/>
      <c r="Q121" s="677"/>
      <c r="R121" s="635"/>
    </row>
    <row r="122" ht="18">
      <c r="A122" s="1078"/>
      <c r="B122" s="1022" t="s">
        <v>357</v>
      </c>
      <c r="C122" s="1023"/>
      <c r="D122" s="697">
        <f>C217</f>
        <v>6</v>
      </c>
      <c r="E122" s="691"/>
      <c r="F122" s="691"/>
      <c r="G122" s="691"/>
      <c r="H122" s="691"/>
      <c r="I122" s="691"/>
      <c r="J122" s="691"/>
      <c r="K122" s="527"/>
      <c r="L122" s="527"/>
      <c r="M122" s="527"/>
      <c r="N122" s="527"/>
      <c r="O122" s="527"/>
      <c r="P122" s="527"/>
      <c r="Q122" s="677"/>
      <c r="R122" s="635"/>
    </row>
    <row r="123" ht="18">
      <c r="A123" s="1078"/>
      <c r="B123" s="1022" t="s">
        <v>358</v>
      </c>
      <c r="C123" s="1023"/>
      <c r="D123" s="697">
        <f>D122/D121</f>
        <v>2</v>
      </c>
      <c r="E123" s="691"/>
      <c r="F123" s="691"/>
      <c r="G123" s="691"/>
      <c r="H123" s="691"/>
      <c r="I123" s="691"/>
      <c r="J123" s="691"/>
      <c r="K123" s="527"/>
      <c r="L123" s="527"/>
      <c r="M123" s="527"/>
      <c r="N123" s="527"/>
      <c r="O123" s="527"/>
      <c r="P123" s="527"/>
      <c r="Q123" s="677"/>
      <c r="R123" s="635"/>
    </row>
    <row r="124" ht="18">
      <c r="A124" s="1078"/>
      <c r="B124" s="1022" t="s">
        <v>359</v>
      </c>
      <c r="C124" s="1023"/>
      <c r="D124" s="1024">
        <v>20</v>
      </c>
      <c r="E124" s="1025"/>
      <c r="F124" s="1022" t="s">
        <v>360</v>
      </c>
      <c r="G124" s="1023"/>
      <c r="H124" s="1023"/>
      <c r="I124" s="697">
        <f>D124/D121</f>
        <v>6.666666666666667</v>
      </c>
      <c r="J124" s="691"/>
      <c r="K124" s="527"/>
      <c r="L124" s="527"/>
      <c r="M124" s="527"/>
      <c r="N124" s="527"/>
      <c r="O124" s="527"/>
      <c r="P124" s="527"/>
      <c r="Q124" s="677"/>
      <c r="R124" s="635"/>
    </row>
    <row r="125" ht="18">
      <c r="A125" s="1078"/>
      <c r="B125" s="1022" t="s">
        <v>361</v>
      </c>
      <c r="C125" s="1023"/>
      <c r="D125" s="692">
        <v>50</v>
      </c>
      <c r="E125" s="697" t="s">
        <v>362</v>
      </c>
      <c r="F125" s="691"/>
      <c r="G125" s="691"/>
      <c r="H125" s="691"/>
      <c r="I125" s="691"/>
      <c r="J125" s="691"/>
      <c r="K125" s="527"/>
      <c r="L125" s="527"/>
      <c r="M125" s="527"/>
      <c r="N125" s="527"/>
      <c r="O125" s="527"/>
      <c r="P125" s="527"/>
      <c r="Q125" s="677"/>
      <c r="R125" s="635"/>
    </row>
    <row r="126" ht="18">
      <c r="A126" s="1078"/>
      <c r="B126" s="691"/>
      <c r="C126" s="691"/>
      <c r="D126" s="691"/>
      <c r="E126" s="691"/>
      <c r="F126" s="691"/>
      <c r="G126" s="691"/>
      <c r="H126" s="691"/>
      <c r="I126" s="691"/>
      <c r="J126" s="691"/>
      <c r="K126" s="527"/>
      <c r="L126" s="527"/>
      <c r="M126" s="527"/>
      <c r="N126" s="527"/>
      <c r="O126" s="527"/>
      <c r="P126" s="527"/>
      <c r="Q126" s="677"/>
      <c r="R126" s="635"/>
    </row>
    <row r="127" ht="18">
      <c r="A127" s="1078"/>
      <c r="B127" s="691"/>
      <c r="C127" s="691"/>
      <c r="D127" s="691"/>
      <c r="E127" s="691"/>
      <c r="F127" s="691"/>
      <c r="G127" s="691"/>
      <c r="H127" s="691"/>
      <c r="I127" s="691"/>
      <c r="J127" s="691"/>
      <c r="K127" s="527"/>
      <c r="L127" s="527"/>
      <c r="M127" s="527"/>
      <c r="N127" s="527"/>
      <c r="O127" s="527"/>
      <c r="P127" s="527"/>
      <c r="Q127" s="677"/>
      <c r="R127" s="635"/>
    </row>
    <row r="128" ht="18">
      <c r="A128" s="1078"/>
      <c r="B128" s="691" t="s">
        <v>363</v>
      </c>
      <c r="C128" s="691"/>
      <c r="D128" s="691"/>
      <c r="E128" s="691"/>
      <c r="F128" s="691"/>
      <c r="G128" s="691"/>
      <c r="H128" s="691"/>
      <c r="I128" s="691"/>
      <c r="J128" s="691"/>
      <c r="K128" s="527"/>
      <c r="L128" s="527"/>
      <c r="M128" s="527"/>
      <c r="N128" s="527"/>
      <c r="O128" s="527"/>
      <c r="P128" s="527"/>
      <c r="Q128" s="677"/>
      <c r="R128" s="635"/>
    </row>
    <row r="129" ht="18">
      <c r="A129" s="1078"/>
      <c r="B129" s="691"/>
      <c r="C129" s="691"/>
      <c r="D129" s="691"/>
      <c r="E129" s="691"/>
      <c r="F129" s="691"/>
      <c r="G129" s="691"/>
      <c r="H129" s="691" t="s">
        <v>364</v>
      </c>
      <c r="I129" s="691" t="s">
        <v>365</v>
      </c>
      <c r="J129" s="691"/>
      <c r="K129" s="527"/>
      <c r="L129" s="527"/>
      <c r="M129" s="527"/>
      <c r="N129" s="527"/>
      <c r="O129" s="527"/>
      <c r="P129" s="527"/>
      <c r="Q129" s="677"/>
      <c r="R129" s="635"/>
    </row>
    <row r="130" ht="18">
      <c r="A130" s="1078"/>
      <c r="B130" s="691" t="s">
        <v>366</v>
      </c>
      <c r="C130" s="691"/>
      <c r="D130" s="691"/>
      <c r="E130" s="691"/>
      <c r="F130" s="691"/>
      <c r="G130" s="691"/>
      <c r="H130" s="698">
        <f>IF(B141=1,D153,IF(B141=2,D153,IF(B141=3,D153,IF(B141=4,D153,IF(B141=5,D153,IF(B141=6,F153,IF(B141=7,F153,IF(B141=8,F153,IF(B141=9,F153,IF(B141=10,F153,IF(B141=11,E153,IF(B141=12,G153,IF(B141=13,G153)))))))))))))</f>
        <v>2</v>
      </c>
      <c r="I130" s="698">
        <f>IF(K142=3,H130,IF(K142=1,H130-2,IF(K142=2,H130-1,IF(K142=4,H130+1,IF(K142=5,H130+2)))))</f>
        <v>2</v>
      </c>
      <c r="J130" s="691"/>
      <c r="K130" s="527"/>
      <c r="L130" s="527"/>
      <c r="M130" s="527"/>
      <c r="N130" s="527"/>
      <c r="O130" s="527"/>
      <c r="P130" s="527"/>
      <c r="Q130" s="677"/>
      <c r="R130" s="635"/>
    </row>
    <row r="131" ht="18">
      <c r="A131" s="1078"/>
      <c r="B131" s="691" t="s">
        <v>367</v>
      </c>
      <c r="C131" s="691"/>
      <c r="D131" s="691"/>
      <c r="E131" s="691"/>
      <c r="F131" s="691"/>
      <c r="G131" s="691"/>
      <c r="H131" s="698">
        <f>IF(B141=1,F157,IF(B141=2,F157,IF(B141=3,F157,IF(B141=4,F157,IF(B141=5,F157,N153)))))</f>
        <v>5</v>
      </c>
      <c r="I131" s="698">
        <f>IF(L148=6,0,IF(L148=1,-5,IF(L148=2,-4,IF(L148=3,-3,IF(L148=4,-2,IF(L148=5,-1,IF(L148=7,1,IF(L148=8,2,IF(L148=9,3,IF(L148=10,4,IF(L148=11,5,)))))))))))+H131</f>
        <v>5</v>
      </c>
      <c r="J131" s="691"/>
      <c r="K131" s="527"/>
      <c r="L131" s="527"/>
      <c r="M131" s="527"/>
      <c r="N131" s="527"/>
      <c r="O131" s="527"/>
      <c r="P131" s="527"/>
      <c r="Q131" s="677"/>
      <c r="R131" s="635"/>
    </row>
    <row r="132" ht="18">
      <c r="A132" s="1078"/>
      <c r="B132" s="691"/>
      <c r="C132" s="691"/>
      <c r="D132" s="691"/>
      <c r="E132" s="691"/>
      <c r="F132" s="691"/>
      <c r="G132" s="691"/>
      <c r="H132" s="698">
        <f>IF(I130=2,2,I130+1)</f>
        <v>2</v>
      </c>
      <c r="I132" s="698">
        <f>IF(M148=6,0,IF(M148=1,-5,IF(M148=2,-4,IF(M148=3,-3,IF(M148=4,-2,IF(M148=5,-1,IF(M148=7,1,IF(M148=8,2,IF(M148=9,3,IF(M148=10,4,IF(M148=11,5,)))))))))))+H132</f>
        <v>2</v>
      </c>
      <c r="J132" s="691"/>
      <c r="K132" s="527"/>
      <c r="L132" s="527"/>
      <c r="M132" s="527"/>
      <c r="N132" s="527"/>
      <c r="O132" s="527"/>
      <c r="P132" s="527"/>
      <c r="Q132" s="677"/>
      <c r="R132" s="635"/>
    </row>
    <row r="133" ht="18">
      <c r="A133" s="1078"/>
      <c r="B133" s="691" t="s">
        <v>347</v>
      </c>
      <c r="C133" s="691"/>
      <c r="D133" s="691"/>
      <c r="E133" s="691"/>
      <c r="F133" s="691"/>
      <c r="G133" s="691"/>
      <c r="H133" s="698">
        <f>H130</f>
        <v>2</v>
      </c>
      <c r="I133" s="698">
        <f>IF(N142=3,H133,IF(N142=1,H133-2,IF(N142=2,H133-1,IF(N142=4,H133+1,IF(N142=5,H133+2)))))</f>
        <v>2</v>
      </c>
      <c r="J133" s="691"/>
      <c r="K133" s="527"/>
      <c r="L133" s="527"/>
      <c r="M133" s="527"/>
      <c r="N133" s="527"/>
      <c r="O133" s="527"/>
      <c r="P133" s="527"/>
      <c r="Q133" s="677"/>
      <c r="R133" s="635"/>
    </row>
    <row r="134" ht="18.6">
      <c r="A134" s="1078"/>
      <c r="B134" s="691"/>
      <c r="C134" s="691"/>
      <c r="D134" s="691"/>
      <c r="E134" s="691"/>
      <c r="F134" s="691"/>
      <c r="G134" s="691"/>
      <c r="H134" s="691"/>
      <c r="I134" s="691"/>
      <c r="J134" s="691"/>
      <c r="K134" s="527"/>
      <c r="L134" s="527"/>
      <c r="M134" s="527"/>
      <c r="N134" s="527"/>
      <c r="O134" s="527"/>
      <c r="P134" s="527"/>
      <c r="Q134" s="699"/>
      <c r="R134" s="635"/>
    </row>
    <row r="135">
      <c r="A135" s="1078"/>
      <c r="B135" s="700" t="s">
        <v>373</v>
      </c>
      <c r="C135" s="701" t="s">
        <v>340</v>
      </c>
      <c r="D135" s="701" t="s">
        <v>342</v>
      </c>
      <c r="E135" s="701" t="s">
        <v>345</v>
      </c>
      <c r="F135" s="701" t="s">
        <v>346</v>
      </c>
      <c r="G135" s="701" t="s">
        <v>350</v>
      </c>
      <c r="H135" s="701" t="s">
        <v>355</v>
      </c>
      <c r="I135" s="701" t="s">
        <v>518</v>
      </c>
      <c r="J135" s="701" t="s">
        <v>352</v>
      </c>
      <c r="K135" s="1026" t="s">
        <v>519</v>
      </c>
      <c r="L135" s="1027"/>
      <c r="M135" s="1027"/>
      <c r="N135" s="1028"/>
      <c r="O135" s="701" t="s">
        <v>520</v>
      </c>
      <c r="P135" s="701" t="s">
        <v>352</v>
      </c>
      <c r="Q135" s="701" t="s">
        <v>521</v>
      </c>
      <c r="R135" s="635"/>
    </row>
    <row r="136">
      <c r="A136" s="1078"/>
      <c r="B136" s="702" t="s">
        <v>522</v>
      </c>
      <c r="C136" s="703" t="s">
        <v>523</v>
      </c>
      <c r="D136" s="703" t="s">
        <v>523</v>
      </c>
      <c r="E136" s="703" t="s">
        <v>524</v>
      </c>
      <c r="F136" s="703" t="s">
        <v>525</v>
      </c>
      <c r="G136" s="703" t="s">
        <v>526</v>
      </c>
      <c r="H136" s="703" t="s">
        <v>526</v>
      </c>
      <c r="I136" s="703" t="s">
        <v>526</v>
      </c>
      <c r="J136" s="703" t="s">
        <v>525</v>
      </c>
      <c r="K136" s="704" t="s">
        <v>366</v>
      </c>
      <c r="L136" s="705" t="s">
        <v>367</v>
      </c>
      <c r="M136" s="705" t="s">
        <v>527</v>
      </c>
      <c r="N136" s="706" t="s">
        <v>347</v>
      </c>
      <c r="O136" s="703" t="s">
        <v>528</v>
      </c>
      <c r="P136" s="703" t="s">
        <v>529</v>
      </c>
      <c r="Q136" s="703" t="s">
        <v>526</v>
      </c>
      <c r="R136" s="635"/>
    </row>
    <row r="137">
      <c r="A137" s="1078"/>
      <c r="B137" s="702" t="s">
        <v>530</v>
      </c>
      <c r="C137" s="703" t="s">
        <v>531</v>
      </c>
      <c r="D137" s="703" t="s">
        <v>531</v>
      </c>
      <c r="E137" s="703" t="s">
        <v>532</v>
      </c>
      <c r="F137" s="703" t="s">
        <v>533</v>
      </c>
      <c r="G137" s="703" t="s">
        <v>525</v>
      </c>
      <c r="H137" s="703" t="s">
        <v>525</v>
      </c>
      <c r="I137" s="703" t="s">
        <v>525</v>
      </c>
      <c r="J137" s="703" t="s">
        <v>534</v>
      </c>
      <c r="K137" s="704">
        <v>-2</v>
      </c>
      <c r="L137" s="705">
        <v>-5</v>
      </c>
      <c r="M137" s="705">
        <v>-5</v>
      </c>
      <c r="N137" s="706">
        <v>-2</v>
      </c>
      <c r="O137" s="703" t="s">
        <v>535</v>
      </c>
      <c r="P137" s="703" t="s">
        <v>536</v>
      </c>
      <c r="Q137" s="703" t="s">
        <v>525</v>
      </c>
      <c r="R137" s="635"/>
    </row>
    <row r="138">
      <c r="A138" s="1078"/>
      <c r="B138" s="702" t="s">
        <v>537</v>
      </c>
      <c r="C138" s="703" t="s">
        <v>538</v>
      </c>
      <c r="D138" s="703" t="s">
        <v>539</v>
      </c>
      <c r="E138" s="703">
        <v>1</v>
      </c>
      <c r="F138" s="703" t="s">
        <v>540</v>
      </c>
      <c r="G138" s="703">
        <v>1</v>
      </c>
      <c r="H138" s="703">
        <v>1</v>
      </c>
      <c r="I138" s="703">
        <v>2</v>
      </c>
      <c r="J138" s="703" t="s">
        <v>541</v>
      </c>
      <c r="K138" s="704">
        <v>-1</v>
      </c>
      <c r="L138" s="705">
        <v>-4</v>
      </c>
      <c r="M138" s="705">
        <v>-4</v>
      </c>
      <c r="N138" s="706">
        <v>-1</v>
      </c>
      <c r="O138" s="703" t="s">
        <v>542</v>
      </c>
      <c r="P138" s="703">
        <v>1</v>
      </c>
      <c r="Q138" s="703" t="s">
        <v>543</v>
      </c>
      <c r="R138" s="635"/>
    </row>
    <row r="139">
      <c r="A139" s="1078"/>
      <c r="B139" s="702" t="s">
        <v>544</v>
      </c>
      <c r="C139" s="703">
        <v>1</v>
      </c>
      <c r="D139" s="703" t="s">
        <v>545</v>
      </c>
      <c r="E139" s="703"/>
      <c r="F139" s="703" t="s">
        <v>546</v>
      </c>
      <c r="G139" s="703"/>
      <c r="H139" s="703"/>
      <c r="I139" s="703"/>
      <c r="J139" s="703">
        <v>2</v>
      </c>
      <c r="K139" s="704">
        <v>0</v>
      </c>
      <c r="L139" s="705">
        <v>-3</v>
      </c>
      <c r="M139" s="705">
        <v>-3</v>
      </c>
      <c r="N139" s="706">
        <v>0</v>
      </c>
      <c r="O139" s="703" t="s">
        <v>547</v>
      </c>
      <c r="P139" s="703"/>
      <c r="Q139" s="703">
        <v>1</v>
      </c>
      <c r="R139" s="635"/>
    </row>
    <row r="140">
      <c r="A140" s="1078"/>
      <c r="B140" s="702" t="s">
        <v>548</v>
      </c>
      <c r="C140" s="703"/>
      <c r="D140" s="703" t="s">
        <v>549</v>
      </c>
      <c r="E140" s="703"/>
      <c r="F140" s="703" t="s">
        <v>550</v>
      </c>
      <c r="G140" s="703"/>
      <c r="H140" s="703"/>
      <c r="I140" s="703"/>
      <c r="J140" s="703"/>
      <c r="K140" s="704">
        <v>1</v>
      </c>
      <c r="L140" s="705">
        <v>-2</v>
      </c>
      <c r="M140" s="705">
        <v>-2</v>
      </c>
      <c r="N140" s="706">
        <v>1</v>
      </c>
      <c r="O140" s="703" t="s">
        <v>551</v>
      </c>
      <c r="P140" s="703"/>
      <c r="Q140" s="703"/>
      <c r="R140" s="635"/>
    </row>
    <row r="141">
      <c r="A141" s="1078"/>
      <c r="B141" s="702">
        <v>2</v>
      </c>
      <c r="C141" s="703"/>
      <c r="D141" s="703" t="s">
        <v>538</v>
      </c>
      <c r="E141" s="703"/>
      <c r="F141" s="703" t="s">
        <v>552</v>
      </c>
      <c r="G141" s="703"/>
      <c r="H141" s="703"/>
      <c r="I141" s="703"/>
      <c r="J141" s="703"/>
      <c r="K141" s="704">
        <v>2</v>
      </c>
      <c r="L141" s="705">
        <v>-1</v>
      </c>
      <c r="M141" s="705">
        <v>-1</v>
      </c>
      <c r="N141" s="706">
        <v>2</v>
      </c>
      <c r="O141" s="703" t="s">
        <v>553</v>
      </c>
      <c r="P141" s="703"/>
      <c r="Q141" s="703"/>
      <c r="R141" s="635"/>
    </row>
    <row r="142">
      <c r="A142" s="1078"/>
      <c r="B142" s="702"/>
      <c r="C142" s="703"/>
      <c r="D142" s="703">
        <v>1</v>
      </c>
      <c r="E142" s="703"/>
      <c r="F142" s="703">
        <v>1</v>
      </c>
      <c r="G142" s="703"/>
      <c r="H142" s="703"/>
      <c r="I142" s="703"/>
      <c r="J142" s="703"/>
      <c r="K142" s="704">
        <v>3</v>
      </c>
      <c r="L142" s="705">
        <v>0</v>
      </c>
      <c r="M142" s="705">
        <v>0</v>
      </c>
      <c r="N142" s="706">
        <v>3</v>
      </c>
      <c r="O142" s="703">
        <v>1</v>
      </c>
      <c r="P142" s="703"/>
      <c r="Q142" s="703"/>
      <c r="R142" s="635"/>
    </row>
    <row r="143">
      <c r="A143" s="1078"/>
      <c r="B143" s="702"/>
      <c r="C143" s="703"/>
      <c r="D143" s="703"/>
      <c r="E143" s="703"/>
      <c r="F143" s="703"/>
      <c r="G143" s="703"/>
      <c r="H143" s="703"/>
      <c r="I143" s="703"/>
      <c r="J143" s="703"/>
      <c r="K143" s="704"/>
      <c r="L143" s="705">
        <v>1</v>
      </c>
      <c r="M143" s="705">
        <v>1</v>
      </c>
      <c r="N143" s="706"/>
      <c r="O143" s="703"/>
      <c r="P143" s="703"/>
      <c r="Q143" s="703"/>
      <c r="R143" s="635"/>
    </row>
    <row r="144">
      <c r="A144" s="1078"/>
      <c r="B144" s="702"/>
      <c r="C144" s="703"/>
      <c r="D144" s="703"/>
      <c r="E144" s="703"/>
      <c r="F144" s="703"/>
      <c r="G144" s="703"/>
      <c r="H144" s="703"/>
      <c r="I144" s="703"/>
      <c r="J144" s="703"/>
      <c r="K144" s="704"/>
      <c r="L144" s="705">
        <v>2</v>
      </c>
      <c r="M144" s="705">
        <v>2</v>
      </c>
      <c r="N144" s="706"/>
      <c r="O144" s="703"/>
      <c r="P144" s="703"/>
      <c r="Q144" s="703"/>
      <c r="R144" s="635"/>
    </row>
    <row r="145">
      <c r="A145" s="1078"/>
      <c r="B145" s="702"/>
      <c r="C145" s="703"/>
      <c r="D145" s="703"/>
      <c r="E145" s="703"/>
      <c r="F145" s="703"/>
      <c r="G145" s="703"/>
      <c r="H145" s="703"/>
      <c r="I145" s="703"/>
      <c r="J145" s="703"/>
      <c r="K145" s="704"/>
      <c r="L145" s="705">
        <v>3</v>
      </c>
      <c r="M145" s="705">
        <v>3</v>
      </c>
      <c r="N145" s="706"/>
      <c r="O145" s="703"/>
      <c r="P145" s="703"/>
      <c r="Q145" s="703"/>
      <c r="R145" s="635"/>
    </row>
    <row r="146">
      <c r="A146" s="1078"/>
      <c r="B146" s="702"/>
      <c r="C146" s="703"/>
      <c r="D146" s="703"/>
      <c r="E146" s="703"/>
      <c r="F146" s="703"/>
      <c r="G146" s="703"/>
      <c r="H146" s="703"/>
      <c r="I146" s="703"/>
      <c r="J146" s="703"/>
      <c r="K146" s="704"/>
      <c r="L146" s="705">
        <v>4</v>
      </c>
      <c r="M146" s="705">
        <v>4</v>
      </c>
      <c r="N146" s="706"/>
      <c r="O146" s="703"/>
      <c r="P146" s="703"/>
      <c r="Q146" s="703"/>
      <c r="R146" s="635"/>
    </row>
    <row r="147">
      <c r="A147" s="1078"/>
      <c r="B147" s="702"/>
      <c r="C147" s="703"/>
      <c r="D147" s="703"/>
      <c r="E147" s="703"/>
      <c r="F147" s="703"/>
      <c r="G147" s="703"/>
      <c r="H147" s="703"/>
      <c r="I147" s="703"/>
      <c r="J147" s="703"/>
      <c r="K147" s="704"/>
      <c r="L147" s="705">
        <v>5</v>
      </c>
      <c r="M147" s="705">
        <v>5</v>
      </c>
      <c r="N147" s="706"/>
      <c r="O147" s="703"/>
      <c r="P147" s="703"/>
      <c r="Q147" s="703"/>
      <c r="R147" s="635"/>
    </row>
    <row r="148">
      <c r="A148" s="1078"/>
      <c r="B148" s="702"/>
      <c r="C148" s="703"/>
      <c r="D148" s="703"/>
      <c r="E148" s="703"/>
      <c r="F148" s="703"/>
      <c r="G148" s="703"/>
      <c r="H148" s="703"/>
      <c r="I148" s="703"/>
      <c r="J148" s="703"/>
      <c r="K148" s="704"/>
      <c r="L148" s="705">
        <v>6</v>
      </c>
      <c r="M148" s="705">
        <v>6</v>
      </c>
      <c r="N148" s="706"/>
      <c r="O148" s="703"/>
      <c r="P148" s="703"/>
      <c r="Q148" s="703"/>
      <c r="R148" s="635"/>
    </row>
    <row r="149">
      <c r="A149" s="1078"/>
      <c r="B149" s="707"/>
      <c r="C149" s="708"/>
      <c r="D149" s="708"/>
      <c r="E149" s="708"/>
      <c r="F149" s="708"/>
      <c r="G149" s="708"/>
      <c r="H149" s="708"/>
      <c r="I149" s="708"/>
      <c r="J149" s="708"/>
      <c r="K149" s="709"/>
      <c r="L149" s="710"/>
      <c r="M149" s="710"/>
      <c r="N149" s="711"/>
      <c r="O149" s="708"/>
      <c r="P149" s="708"/>
      <c r="Q149" s="708"/>
      <c r="R149" s="635"/>
    </row>
    <row r="150" ht="15">
      <c r="A150" s="1078"/>
      <c r="B150" s="712"/>
      <c r="C150" s="705"/>
      <c r="D150" s="705"/>
      <c r="E150" s="705"/>
      <c r="F150" s="705"/>
      <c r="G150" s="705"/>
      <c r="H150" s="705"/>
      <c r="I150" s="705"/>
      <c r="J150" s="705"/>
      <c r="K150" s="705"/>
      <c r="L150" s="705"/>
      <c r="M150" s="705"/>
      <c r="N150" s="705"/>
      <c r="O150" s="705"/>
      <c r="P150" s="705"/>
      <c r="Q150" s="705"/>
      <c r="R150" s="635"/>
    </row>
    <row r="151">
      <c r="A151" s="1078"/>
      <c r="B151" s="713" t="s">
        <v>554</v>
      </c>
      <c r="C151" s="714" t="str">
        <f>IF(B141=1,B136,IF(B141=2,B137,IF(B141=3,B138,IF(B141=4,B139,IF(B141=5,B140,IF(B141=6,B141,IF(B141=7,B142,IF(B141=8,B143,IF(B141=9,B144,IF(B141=10,B145,IF(B141=11,B146,IF(B141=12,B147,B148))))))))))))</f>
        <v>EVO 150X70</v>
      </c>
      <c r="D151" s="1029" t="s">
        <v>555</v>
      </c>
      <c r="E151" s="1030"/>
      <c r="F151" s="1030"/>
      <c r="G151" s="1031"/>
      <c r="H151" s="705"/>
      <c r="I151" s="705"/>
      <c r="J151" s="1032" t="s">
        <v>556</v>
      </c>
      <c r="K151" s="1033"/>
      <c r="L151" s="1033"/>
      <c r="M151" s="1033"/>
      <c r="N151" s="1033"/>
      <c r="O151" s="1033"/>
      <c r="P151" s="1033"/>
      <c r="Q151" s="1034"/>
      <c r="R151" s="635"/>
    </row>
    <row r="152">
      <c r="A152" s="1078"/>
      <c r="B152" s="716" t="s">
        <v>557</v>
      </c>
      <c r="C152" s="717">
        <f>D110</f>
        <v>350</v>
      </c>
      <c r="D152" s="718" t="s">
        <v>558</v>
      </c>
      <c r="E152" s="718"/>
      <c r="F152" s="718"/>
      <c r="G152" s="715"/>
      <c r="H152" s="705"/>
      <c r="I152" s="705"/>
      <c r="J152" s="719"/>
      <c r="K152" s="720"/>
      <c r="L152" s="720"/>
      <c r="M152" s="720"/>
      <c r="N152" s="720"/>
      <c r="O152" s="720"/>
      <c r="P152" s="720"/>
      <c r="Q152" s="721"/>
      <c r="R152" s="635"/>
    </row>
    <row r="153" ht="15">
      <c r="A153" s="1078"/>
      <c r="B153" s="722" t="s">
        <v>559</v>
      </c>
      <c r="C153" s="723">
        <f>G242</f>
        <v>400</v>
      </c>
      <c r="D153" s="708">
        <f>IF(C152&gt;2400,8,IF(C152&gt;2000,7,IF(C152&gt;1600,6,IF(C152&gt;1200,5,IF(C152&gt;800,4,IF(C152&gt;400,3,2))))))</f>
        <v>2</v>
      </c>
      <c r="E153" s="708"/>
      <c r="F153" s="708"/>
      <c r="G153" s="711"/>
      <c r="H153" s="705"/>
      <c r="I153" s="705"/>
      <c r="J153" s="1035" t="s">
        <v>560</v>
      </c>
      <c r="K153" s="1036"/>
      <c r="L153" s="725">
        <f>C153</f>
        <v>400</v>
      </c>
      <c r="M153" s="725" t="s">
        <v>561</v>
      </c>
      <c r="N153" s="725">
        <f>INT((L153-4)/25)+1</f>
        <v>16</v>
      </c>
      <c r="O153" s="725"/>
      <c r="P153" s="725"/>
      <c r="Q153" s="726"/>
      <c r="R153" s="635"/>
    </row>
    <row r="154" ht="15">
      <c r="A154" s="1078"/>
      <c r="B154" s="712"/>
      <c r="C154" s="705"/>
      <c r="D154" s="705"/>
      <c r="E154" s="705"/>
      <c r="F154" s="705"/>
      <c r="G154" s="705"/>
      <c r="H154" s="705"/>
      <c r="I154" s="705"/>
      <c r="J154" s="705"/>
      <c r="K154" s="705"/>
      <c r="L154" s="705"/>
      <c r="M154" s="705"/>
      <c r="N154" s="705"/>
      <c r="O154" s="705"/>
      <c r="P154" s="705"/>
      <c r="Q154" s="705"/>
      <c r="R154" s="635"/>
    </row>
    <row r="155">
      <c r="A155" s="1078"/>
      <c r="B155" s="1032" t="s">
        <v>562</v>
      </c>
      <c r="C155" s="1033"/>
      <c r="D155" s="1033"/>
      <c r="E155" s="1033"/>
      <c r="F155" s="1033"/>
      <c r="G155" s="1033"/>
      <c r="H155" s="1033"/>
      <c r="I155" s="1034"/>
      <c r="J155" s="1032" t="s">
        <v>563</v>
      </c>
      <c r="K155" s="1033"/>
      <c r="L155" s="1033"/>
      <c r="M155" s="1033"/>
      <c r="N155" s="1033"/>
      <c r="O155" s="1033"/>
      <c r="P155" s="1033"/>
      <c r="Q155" s="1034"/>
      <c r="R155" s="635"/>
    </row>
    <row r="156">
      <c r="A156" s="1078"/>
      <c r="B156" s="719"/>
      <c r="C156" s="720"/>
      <c r="D156" s="720"/>
      <c r="E156" s="720"/>
      <c r="F156" s="720"/>
      <c r="G156" s="720"/>
      <c r="H156" s="720"/>
      <c r="I156" s="721"/>
      <c r="J156" s="719"/>
      <c r="K156" s="720"/>
      <c r="L156" s="720"/>
      <c r="M156" s="720"/>
      <c r="N156" s="720"/>
      <c r="O156" s="720"/>
      <c r="P156" s="720"/>
      <c r="Q156" s="721"/>
      <c r="R156" s="635"/>
    </row>
    <row r="157">
      <c r="A157" s="1078"/>
      <c r="B157" s="1020" t="s">
        <v>560</v>
      </c>
      <c r="C157" s="1021"/>
      <c r="D157" s="720">
        <f>C153</f>
        <v>400</v>
      </c>
      <c r="E157" s="720" t="s">
        <v>564</v>
      </c>
      <c r="F157" s="720">
        <f>I160</f>
        <v>5</v>
      </c>
      <c r="G157" s="720"/>
      <c r="H157" s="720"/>
      <c r="I157" s="721"/>
      <c r="J157" s="1020" t="s">
        <v>560</v>
      </c>
      <c r="K157" s="1021"/>
      <c r="L157" s="720">
        <f>C153</f>
        <v>400</v>
      </c>
      <c r="M157" s="720" t="s">
        <v>564</v>
      </c>
      <c r="N157" s="720">
        <f>Q160</f>
        <v>5</v>
      </c>
      <c r="O157" s="720"/>
      <c r="P157" s="720"/>
      <c r="Q157" s="721"/>
      <c r="R157" s="635"/>
    </row>
    <row r="158">
      <c r="A158" s="1078"/>
      <c r="B158" s="1008" t="s">
        <v>564</v>
      </c>
      <c r="C158" s="1009"/>
      <c r="D158" s="1009"/>
      <c r="E158" s="720"/>
      <c r="F158" s="720"/>
      <c r="G158" s="729"/>
      <c r="H158" s="720"/>
      <c r="I158" s="721"/>
      <c r="J158" s="1008" t="s">
        <v>565</v>
      </c>
      <c r="K158" s="1009"/>
      <c r="L158" s="1009"/>
      <c r="M158" s="720"/>
      <c r="N158" s="720"/>
      <c r="O158" s="729"/>
      <c r="P158" s="720"/>
      <c r="Q158" s="721"/>
      <c r="R158" s="635"/>
    </row>
    <row r="159">
      <c r="A159" s="1078"/>
      <c r="B159" s="727" t="s">
        <v>566</v>
      </c>
      <c r="C159" s="728" t="s">
        <v>567</v>
      </c>
      <c r="D159" s="728" t="s">
        <v>568</v>
      </c>
      <c r="E159" s="720"/>
      <c r="F159" s="728" t="s">
        <v>566</v>
      </c>
      <c r="G159" s="728" t="s">
        <v>567</v>
      </c>
      <c r="H159" s="728" t="s">
        <v>568</v>
      </c>
      <c r="I159" s="721"/>
      <c r="J159" s="727" t="s">
        <v>566</v>
      </c>
      <c r="K159" s="728" t="s">
        <v>567</v>
      </c>
      <c r="L159" s="728" t="s">
        <v>568</v>
      </c>
      <c r="M159" s="720"/>
      <c r="N159" s="728" t="s">
        <v>566</v>
      </c>
      <c r="O159" s="728" t="s">
        <v>567</v>
      </c>
      <c r="P159" s="728" t="s">
        <v>568</v>
      </c>
      <c r="Q159" s="721"/>
      <c r="R159" s="635"/>
    </row>
    <row r="160">
      <c r="A160" s="1078"/>
      <c r="B160" s="719">
        <v>1</v>
      </c>
      <c r="C160" s="730">
        <v>0</v>
      </c>
      <c r="D160" s="730">
        <v>152</v>
      </c>
      <c r="E160" s="730">
        <f ref="E160:E178" t="shared" si="18">D160+1</f>
        <v>153</v>
      </c>
      <c r="F160" s="720" t="s">
        <v>569</v>
      </c>
      <c r="G160" s="730">
        <f>C160</f>
        <v>0</v>
      </c>
      <c r="H160" s="730">
        <f>D164</f>
        <v>402</v>
      </c>
      <c r="I160" s="731">
        <f>IF(D157&lt;E160,B160,IF(D157&lt;E161,B161,IF(D157&lt;E162,B162,IF(D157&lt;E163,B163,IF(D157&lt;E164,B164,I165)))))</f>
        <v>5</v>
      </c>
      <c r="J160" s="719">
        <v>1</v>
      </c>
      <c r="K160" s="730">
        <v>0</v>
      </c>
      <c r="L160" s="730">
        <v>168</v>
      </c>
      <c r="M160" s="730">
        <f ref="M160:M178" t="shared" si="19">L160+1</f>
        <v>169</v>
      </c>
      <c r="N160" s="720" t="s">
        <v>569</v>
      </c>
      <c r="O160" s="730">
        <f>K160</f>
        <v>0</v>
      </c>
      <c r="P160" s="730">
        <f>L164</f>
        <v>460</v>
      </c>
      <c r="Q160" s="731">
        <f>IF(L157&lt;M160,J160,IF(L157&lt;M161,J161,IF(L157&lt;M162,J162,IF(L157&lt;M163,J163,IF(L157&lt;M164,J164,Q165)))))</f>
        <v>5</v>
      </c>
      <c r="R160" s="635"/>
    </row>
    <row r="161">
      <c r="A161" s="1078"/>
      <c r="B161" s="727">
        <v>2</v>
      </c>
      <c r="C161" s="732">
        <f ref="C161:C178" t="shared" si="20">D160+1</f>
        <v>153</v>
      </c>
      <c r="D161" s="732">
        <v>215</v>
      </c>
      <c r="E161" s="730">
        <f t="shared" si="18"/>
        <v>216</v>
      </c>
      <c r="F161" s="720"/>
      <c r="G161" s="720"/>
      <c r="H161" s="720"/>
      <c r="I161" s="731"/>
      <c r="J161" s="727">
        <v>2</v>
      </c>
      <c r="K161" s="732">
        <f ref="K161:K178" t="shared" si="21">L160+1</f>
        <v>169</v>
      </c>
      <c r="L161" s="732">
        <v>241</v>
      </c>
      <c r="M161" s="730">
        <f t="shared" si="19"/>
        <v>242</v>
      </c>
      <c r="N161" s="720"/>
      <c r="O161" s="720"/>
      <c r="P161" s="720"/>
      <c r="Q161" s="731"/>
      <c r="R161" s="635"/>
    </row>
    <row r="162">
      <c r="A162" s="1078"/>
      <c r="B162" s="719">
        <v>3</v>
      </c>
      <c r="C162" s="732">
        <f t="shared" si="20"/>
        <v>216</v>
      </c>
      <c r="D162" s="730">
        <v>277</v>
      </c>
      <c r="E162" s="730">
        <f t="shared" si="18"/>
        <v>278</v>
      </c>
      <c r="F162" s="720"/>
      <c r="G162" s="720"/>
      <c r="H162" s="720"/>
      <c r="I162" s="731"/>
      <c r="J162" s="719">
        <v>3</v>
      </c>
      <c r="K162" s="732">
        <f t="shared" si="21"/>
        <v>242</v>
      </c>
      <c r="L162" s="730">
        <v>314</v>
      </c>
      <c r="M162" s="730">
        <f t="shared" si="19"/>
        <v>315</v>
      </c>
      <c r="N162" s="720"/>
      <c r="O162" s="720"/>
      <c r="P162" s="720"/>
      <c r="Q162" s="731"/>
      <c r="R162" s="635"/>
    </row>
    <row r="163">
      <c r="A163" s="1078"/>
      <c r="B163" s="727">
        <v>4</v>
      </c>
      <c r="C163" s="732">
        <f t="shared" si="20"/>
        <v>278</v>
      </c>
      <c r="D163" s="730">
        <v>339</v>
      </c>
      <c r="E163" s="730">
        <f t="shared" si="18"/>
        <v>340</v>
      </c>
      <c r="F163" s="720"/>
      <c r="G163" s="720"/>
      <c r="H163" s="720"/>
      <c r="I163" s="731"/>
      <c r="J163" s="727">
        <v>4</v>
      </c>
      <c r="K163" s="732">
        <f t="shared" si="21"/>
        <v>315</v>
      </c>
      <c r="L163" s="730">
        <v>387</v>
      </c>
      <c r="M163" s="730">
        <f t="shared" si="19"/>
        <v>388</v>
      </c>
      <c r="N163" s="720"/>
      <c r="O163" s="720"/>
      <c r="P163" s="720"/>
      <c r="Q163" s="731"/>
      <c r="R163" s="635"/>
    </row>
    <row r="164">
      <c r="A164" s="1078"/>
      <c r="B164" s="719">
        <v>5</v>
      </c>
      <c r="C164" s="732">
        <f t="shared" si="20"/>
        <v>340</v>
      </c>
      <c r="D164" s="732">
        <v>402</v>
      </c>
      <c r="E164" s="730">
        <f t="shared" si="18"/>
        <v>403</v>
      </c>
      <c r="F164" s="720"/>
      <c r="G164" s="720"/>
      <c r="H164" s="720"/>
      <c r="I164" s="731"/>
      <c r="J164" s="719">
        <v>5</v>
      </c>
      <c r="K164" s="732">
        <f t="shared" si="21"/>
        <v>388</v>
      </c>
      <c r="L164" s="732">
        <v>460</v>
      </c>
      <c r="M164" s="730">
        <f t="shared" si="19"/>
        <v>461</v>
      </c>
      <c r="N164" s="720"/>
      <c r="O164" s="720"/>
      <c r="P164" s="720"/>
      <c r="Q164" s="731"/>
      <c r="R164" s="635"/>
    </row>
    <row r="165">
      <c r="A165" s="1078"/>
      <c r="B165" s="727">
        <v>6</v>
      </c>
      <c r="C165" s="732">
        <f t="shared" si="20"/>
        <v>403</v>
      </c>
      <c r="D165" s="730">
        <v>464</v>
      </c>
      <c r="E165" s="730">
        <f t="shared" si="18"/>
        <v>465</v>
      </c>
      <c r="F165" s="728" t="s">
        <v>570</v>
      </c>
      <c r="G165" s="730">
        <f>C165</f>
        <v>403</v>
      </c>
      <c r="H165" s="730">
        <f>D169</f>
        <v>713</v>
      </c>
      <c r="I165" s="731">
        <f>IF(D157&lt;E165,B165,IF(D157&lt;E166,B166,IF(D157&lt;E167,B167,IF(D157&lt;E168,B168,IF(D157&lt;E169,B169,I170)))))</f>
        <v>6</v>
      </c>
      <c r="J165" s="727">
        <v>6</v>
      </c>
      <c r="K165" s="732">
        <f t="shared" si="21"/>
        <v>461</v>
      </c>
      <c r="L165" s="730">
        <v>533</v>
      </c>
      <c r="M165" s="730">
        <f t="shared" si="19"/>
        <v>534</v>
      </c>
      <c r="N165" s="728" t="s">
        <v>570</v>
      </c>
      <c r="O165" s="730">
        <f>K165</f>
        <v>461</v>
      </c>
      <c r="P165" s="730">
        <f>L169</f>
        <v>825</v>
      </c>
      <c r="Q165" s="731">
        <f>IF(L157&lt;M165,J165,IF(L157&lt;M166,J166,IF(L157&lt;M167,J167,IF(L157&lt;M168,J168,IF(L157&lt;M169,J169,Q170)))))</f>
        <v>6</v>
      </c>
      <c r="R165" s="635"/>
    </row>
    <row r="166">
      <c r="A166" s="1078"/>
      <c r="B166" s="719">
        <v>7</v>
      </c>
      <c r="C166" s="732">
        <f t="shared" si="20"/>
        <v>465</v>
      </c>
      <c r="D166" s="730">
        <v>527</v>
      </c>
      <c r="E166" s="730">
        <f t="shared" si="18"/>
        <v>528</v>
      </c>
      <c r="F166" s="720"/>
      <c r="G166" s="720"/>
      <c r="H166" s="720"/>
      <c r="I166" s="731"/>
      <c r="J166" s="719">
        <v>7</v>
      </c>
      <c r="K166" s="732">
        <f t="shared" si="21"/>
        <v>534</v>
      </c>
      <c r="L166" s="730">
        <v>606</v>
      </c>
      <c r="M166" s="730">
        <f t="shared" si="19"/>
        <v>607</v>
      </c>
      <c r="N166" s="720"/>
      <c r="O166" s="720"/>
      <c r="P166" s="720"/>
      <c r="Q166" s="731"/>
      <c r="R166" s="635"/>
    </row>
    <row r="167">
      <c r="A167" s="1078"/>
      <c r="B167" s="727">
        <v>8</v>
      </c>
      <c r="C167" s="732">
        <f t="shared" si="20"/>
        <v>528</v>
      </c>
      <c r="D167" s="732">
        <v>589</v>
      </c>
      <c r="E167" s="730">
        <f t="shared" si="18"/>
        <v>590</v>
      </c>
      <c r="F167" s="720"/>
      <c r="G167" s="720"/>
      <c r="H167" s="720"/>
      <c r="I167" s="731"/>
      <c r="J167" s="727">
        <v>8</v>
      </c>
      <c r="K167" s="732">
        <f t="shared" si="21"/>
        <v>607</v>
      </c>
      <c r="L167" s="732">
        <v>679</v>
      </c>
      <c r="M167" s="730">
        <f t="shared" si="19"/>
        <v>680</v>
      </c>
      <c r="N167" s="720"/>
      <c r="O167" s="720"/>
      <c r="P167" s="720"/>
      <c r="Q167" s="731"/>
      <c r="R167" s="635"/>
    </row>
    <row r="168">
      <c r="A168" s="1078"/>
      <c r="B168" s="719">
        <v>9</v>
      </c>
      <c r="C168" s="732">
        <f t="shared" si="20"/>
        <v>590</v>
      </c>
      <c r="D168" s="730">
        <v>651</v>
      </c>
      <c r="E168" s="730">
        <f t="shared" si="18"/>
        <v>652</v>
      </c>
      <c r="F168" s="720"/>
      <c r="G168" s="720"/>
      <c r="H168" s="720"/>
      <c r="I168" s="731"/>
      <c r="J168" s="719">
        <v>9</v>
      </c>
      <c r="K168" s="732">
        <f t="shared" si="21"/>
        <v>680</v>
      </c>
      <c r="L168" s="730">
        <v>752</v>
      </c>
      <c r="M168" s="730">
        <f t="shared" si="19"/>
        <v>753</v>
      </c>
      <c r="N168" s="720"/>
      <c r="O168" s="720"/>
      <c r="P168" s="720"/>
      <c r="Q168" s="731"/>
      <c r="R168" s="635"/>
    </row>
    <row r="169">
      <c r="A169" s="1078"/>
      <c r="B169" s="727">
        <v>10</v>
      </c>
      <c r="C169" s="732">
        <f t="shared" si="20"/>
        <v>652</v>
      </c>
      <c r="D169" s="730">
        <v>713</v>
      </c>
      <c r="E169" s="730">
        <f t="shared" si="18"/>
        <v>714</v>
      </c>
      <c r="F169" s="720"/>
      <c r="G169" s="720"/>
      <c r="H169" s="720"/>
      <c r="I169" s="731"/>
      <c r="J169" s="727">
        <v>10</v>
      </c>
      <c r="K169" s="732">
        <f t="shared" si="21"/>
        <v>753</v>
      </c>
      <c r="L169" s="730">
        <v>825</v>
      </c>
      <c r="M169" s="730">
        <f t="shared" si="19"/>
        <v>826</v>
      </c>
      <c r="N169" s="720"/>
      <c r="O169" s="720"/>
      <c r="P169" s="720"/>
      <c r="Q169" s="731"/>
      <c r="R169" s="635"/>
    </row>
    <row r="170">
      <c r="A170" s="1078"/>
      <c r="B170" s="719">
        <v>11</v>
      </c>
      <c r="C170" s="732">
        <f t="shared" si="20"/>
        <v>714</v>
      </c>
      <c r="D170" s="732">
        <v>776</v>
      </c>
      <c r="E170" s="730">
        <f t="shared" si="18"/>
        <v>777</v>
      </c>
      <c r="F170" s="720" t="s">
        <v>571</v>
      </c>
      <c r="G170" s="730">
        <f>C170</f>
        <v>714</v>
      </c>
      <c r="H170" s="730">
        <f>D173</f>
        <v>963</v>
      </c>
      <c r="I170" s="731">
        <f>IF(D157&lt;E170,B170,IF(D157&lt;E171,B171,IF(D157&lt;E172,B172,IF(D157&lt;E173,B173,I174))))</f>
        <v>11</v>
      </c>
      <c r="J170" s="719">
        <v>11</v>
      </c>
      <c r="K170" s="732">
        <f t="shared" si="21"/>
        <v>826</v>
      </c>
      <c r="L170" s="732">
        <v>898</v>
      </c>
      <c r="M170" s="730">
        <f t="shared" si="19"/>
        <v>899</v>
      </c>
      <c r="N170" s="720" t="s">
        <v>571</v>
      </c>
      <c r="O170" s="730">
        <f>K170</f>
        <v>826</v>
      </c>
      <c r="P170" s="730">
        <f>L173</f>
        <v>1117</v>
      </c>
      <c r="Q170" s="731">
        <f>IF(L157&lt;M170,J170,IF(L157&lt;M171,J171,IF(L157&lt;M172,J172,IF(L157&lt;M173,J173,Q174))))</f>
        <v>11</v>
      </c>
      <c r="R170" s="635"/>
    </row>
    <row r="171">
      <c r="A171" s="1078"/>
      <c r="B171" s="727">
        <v>12</v>
      </c>
      <c r="C171" s="732">
        <f t="shared" si="20"/>
        <v>777</v>
      </c>
      <c r="D171" s="730">
        <v>837</v>
      </c>
      <c r="E171" s="730">
        <f t="shared" si="18"/>
        <v>838</v>
      </c>
      <c r="F171" s="720"/>
      <c r="G171" s="720"/>
      <c r="H171" s="720"/>
      <c r="I171" s="731"/>
      <c r="J171" s="727">
        <v>12</v>
      </c>
      <c r="K171" s="732">
        <f t="shared" si="21"/>
        <v>899</v>
      </c>
      <c r="L171" s="730">
        <v>971</v>
      </c>
      <c r="M171" s="730">
        <f t="shared" si="19"/>
        <v>972</v>
      </c>
      <c r="N171" s="720"/>
      <c r="O171" s="720"/>
      <c r="P171" s="720"/>
      <c r="Q171" s="731"/>
      <c r="R171" s="635"/>
    </row>
    <row r="172">
      <c r="A172" s="1078"/>
      <c r="B172" s="719">
        <v>13</v>
      </c>
      <c r="C172" s="732">
        <f t="shared" si="20"/>
        <v>838</v>
      </c>
      <c r="D172" s="730">
        <v>900</v>
      </c>
      <c r="E172" s="730">
        <f t="shared" si="18"/>
        <v>901</v>
      </c>
      <c r="F172" s="720"/>
      <c r="G172" s="720"/>
      <c r="H172" s="720"/>
      <c r="I172" s="731"/>
      <c r="J172" s="719">
        <v>13</v>
      </c>
      <c r="K172" s="732">
        <f t="shared" si="21"/>
        <v>972</v>
      </c>
      <c r="L172" s="730">
        <v>1044</v>
      </c>
      <c r="M172" s="730">
        <f t="shared" si="19"/>
        <v>1045</v>
      </c>
      <c r="N172" s="720"/>
      <c r="O172" s="720"/>
      <c r="P172" s="720"/>
      <c r="Q172" s="731"/>
      <c r="R172" s="635"/>
    </row>
    <row r="173">
      <c r="A173" s="1078"/>
      <c r="B173" s="727">
        <v>14</v>
      </c>
      <c r="C173" s="732">
        <f t="shared" si="20"/>
        <v>901</v>
      </c>
      <c r="D173" s="732">
        <v>963</v>
      </c>
      <c r="E173" s="730">
        <f t="shared" si="18"/>
        <v>964</v>
      </c>
      <c r="F173" s="720"/>
      <c r="G173" s="720"/>
      <c r="H173" s="720"/>
      <c r="I173" s="731"/>
      <c r="J173" s="727">
        <v>14</v>
      </c>
      <c r="K173" s="732">
        <f t="shared" si="21"/>
        <v>1045</v>
      </c>
      <c r="L173" s="732">
        <v>1117</v>
      </c>
      <c r="M173" s="730">
        <f t="shared" si="19"/>
        <v>1118</v>
      </c>
      <c r="N173" s="720"/>
      <c r="O173" s="720"/>
      <c r="P173" s="720"/>
      <c r="Q173" s="731"/>
      <c r="R173" s="635"/>
    </row>
    <row r="174">
      <c r="A174" s="1078"/>
      <c r="B174" s="719">
        <v>15</v>
      </c>
      <c r="C174" s="732">
        <f t="shared" si="20"/>
        <v>964</v>
      </c>
      <c r="D174" s="730">
        <v>1025</v>
      </c>
      <c r="E174" s="730">
        <f t="shared" si="18"/>
        <v>1026</v>
      </c>
      <c r="F174" s="720" t="s">
        <v>572</v>
      </c>
      <c r="G174" s="730">
        <f>C174</f>
        <v>964</v>
      </c>
      <c r="H174" s="730">
        <f>D178</f>
        <v>1270</v>
      </c>
      <c r="I174" s="731">
        <f>IF(D157&lt;E174,B174,IF(D157&lt;E175,B175,IF(D157&lt;E176,B176,IF(D157&lt;E177,B177,I178))))</f>
        <v>15</v>
      </c>
      <c r="J174" s="719">
        <v>15</v>
      </c>
      <c r="K174" s="732">
        <f t="shared" si="21"/>
        <v>1118</v>
      </c>
      <c r="L174" s="730">
        <v>1190</v>
      </c>
      <c r="M174" s="730">
        <f t="shared" si="19"/>
        <v>1191</v>
      </c>
      <c r="N174" s="720" t="s">
        <v>572</v>
      </c>
      <c r="O174" s="730">
        <f>K174</f>
        <v>1118</v>
      </c>
      <c r="P174" s="730">
        <f>L178</f>
        <v>1269</v>
      </c>
      <c r="Q174" s="731">
        <f>IF(L157&lt;M174,J174,IF(L157&lt;M175,J175,IF(L157&lt;M176,J176,IF(L157&lt;M177,J177,Q178))))</f>
        <v>15</v>
      </c>
      <c r="R174" s="635"/>
    </row>
    <row r="175">
      <c r="A175" s="1078"/>
      <c r="B175" s="727">
        <v>16</v>
      </c>
      <c r="C175" s="732">
        <f t="shared" si="20"/>
        <v>1026</v>
      </c>
      <c r="D175" s="730">
        <v>1087</v>
      </c>
      <c r="E175" s="730">
        <f t="shared" si="18"/>
        <v>1088</v>
      </c>
      <c r="F175" s="720"/>
      <c r="G175" s="720"/>
      <c r="H175" s="720"/>
      <c r="I175" s="731"/>
      <c r="J175" s="727">
        <v>16</v>
      </c>
      <c r="K175" s="732">
        <f t="shared" si="21"/>
        <v>1191</v>
      </c>
      <c r="L175" s="730">
        <v>1263</v>
      </c>
      <c r="M175" s="730">
        <f t="shared" si="19"/>
        <v>1264</v>
      </c>
      <c r="N175" s="720"/>
      <c r="O175" s="720"/>
      <c r="P175" s="720"/>
      <c r="Q175" s="731"/>
      <c r="R175" s="635"/>
    </row>
    <row r="176">
      <c r="A176" s="1078"/>
      <c r="B176" s="719">
        <v>17</v>
      </c>
      <c r="C176" s="732">
        <f t="shared" si="20"/>
        <v>1088</v>
      </c>
      <c r="D176" s="732">
        <v>1145</v>
      </c>
      <c r="E176" s="730">
        <f t="shared" si="18"/>
        <v>1146</v>
      </c>
      <c r="F176" s="720"/>
      <c r="G176" s="720"/>
      <c r="H176" s="720"/>
      <c r="I176" s="731"/>
      <c r="J176" s="719">
        <v>17</v>
      </c>
      <c r="K176" s="732">
        <f t="shared" si="21"/>
        <v>1264</v>
      </c>
      <c r="L176" s="732">
        <v>1265</v>
      </c>
      <c r="M176" s="730">
        <f t="shared" si="19"/>
        <v>1266</v>
      </c>
      <c r="N176" s="720"/>
      <c r="O176" s="720"/>
      <c r="P176" s="720"/>
      <c r="Q176" s="731"/>
      <c r="R176" s="635"/>
    </row>
    <row r="177">
      <c r="A177" s="1078"/>
      <c r="B177" s="719">
        <v>18</v>
      </c>
      <c r="C177" s="732">
        <f t="shared" si="20"/>
        <v>1146</v>
      </c>
      <c r="D177" s="732">
        <v>1210</v>
      </c>
      <c r="E177" s="730">
        <f t="shared" si="18"/>
        <v>1211</v>
      </c>
      <c r="F177" s="720"/>
      <c r="G177" s="720"/>
      <c r="H177" s="720"/>
      <c r="I177" s="721"/>
      <c r="J177" s="719">
        <v>18</v>
      </c>
      <c r="K177" s="732">
        <f t="shared" si="21"/>
        <v>1266</v>
      </c>
      <c r="L177" s="732">
        <v>1267</v>
      </c>
      <c r="M177" s="730">
        <f t="shared" si="19"/>
        <v>1268</v>
      </c>
      <c r="N177" s="720"/>
      <c r="O177" s="720"/>
      <c r="P177" s="720"/>
      <c r="Q177" s="721"/>
      <c r="R177" s="635"/>
    </row>
    <row r="178" ht="15">
      <c r="A178" s="1078"/>
      <c r="B178" s="724">
        <v>19</v>
      </c>
      <c r="C178" s="733">
        <f t="shared" si="20"/>
        <v>1211</v>
      </c>
      <c r="D178" s="733">
        <v>1270</v>
      </c>
      <c r="E178" s="734">
        <f t="shared" si="18"/>
        <v>1271</v>
      </c>
      <c r="F178" s="725"/>
      <c r="G178" s="725"/>
      <c r="H178" s="725"/>
      <c r="I178" s="726" t="s">
        <v>573</v>
      </c>
      <c r="J178" s="724">
        <v>19</v>
      </c>
      <c r="K178" s="733">
        <f t="shared" si="21"/>
        <v>1268</v>
      </c>
      <c r="L178" s="733">
        <v>1269</v>
      </c>
      <c r="M178" s="734">
        <f t="shared" si="19"/>
        <v>1270</v>
      </c>
      <c r="N178" s="725"/>
      <c r="O178" s="725"/>
      <c r="P178" s="725"/>
      <c r="Q178" s="726" t="s">
        <v>573</v>
      </c>
      <c r="R178" s="635"/>
    </row>
    <row r="179" ht="18.6">
      <c r="A179" s="1078"/>
      <c r="B179" s="527"/>
      <c r="C179" s="527"/>
      <c r="D179" s="527"/>
      <c r="E179" s="527"/>
      <c r="F179" s="527"/>
      <c r="G179" s="527"/>
      <c r="H179" s="527"/>
      <c r="I179" s="527"/>
      <c r="J179" s="527"/>
      <c r="K179" s="527"/>
      <c r="L179" s="527"/>
      <c r="M179" s="527"/>
      <c r="N179" s="527"/>
      <c r="O179" s="527"/>
      <c r="P179" s="527"/>
      <c r="Q179" s="735"/>
      <c r="R179" s="635"/>
    </row>
    <row r="180">
      <c r="A180" s="1078"/>
      <c r="B180" s="1010" t="s">
        <v>574</v>
      </c>
      <c r="C180" s="1011"/>
      <c r="D180" s="736"/>
      <c r="E180" s="736" t="s">
        <v>575</v>
      </c>
      <c r="F180" s="736" t="s">
        <v>576</v>
      </c>
      <c r="G180" s="736" t="s">
        <v>577</v>
      </c>
      <c r="H180" s="736" t="s">
        <v>578</v>
      </c>
      <c r="I180" s="737" t="s">
        <v>579</v>
      </c>
      <c r="J180" s="736"/>
      <c r="K180" s="736"/>
      <c r="L180" s="736"/>
      <c r="M180" s="736"/>
      <c r="N180" s="736"/>
      <c r="O180" s="736"/>
      <c r="P180" s="736"/>
      <c r="Q180" s="736"/>
      <c r="R180" s="635"/>
    </row>
    <row r="181">
      <c r="A181" s="1078"/>
      <c r="B181" s="1012"/>
      <c r="C181" s="1013"/>
      <c r="D181" s="738" t="s">
        <v>580</v>
      </c>
      <c r="E181" s="739">
        <f>F110</f>
        <v>400</v>
      </c>
      <c r="F181" s="739">
        <f>F110</f>
        <v>400</v>
      </c>
      <c r="G181" s="740">
        <f>F110</f>
        <v>400</v>
      </c>
      <c r="H181" s="739">
        <f>F110</f>
        <v>400</v>
      </c>
      <c r="I181" s="741">
        <f>F110</f>
        <v>400</v>
      </c>
      <c r="J181" s="738"/>
      <c r="K181" s="738"/>
      <c r="L181" s="738"/>
      <c r="M181" s="738"/>
      <c r="N181" s="738"/>
      <c r="O181" s="738"/>
      <c r="P181" s="738"/>
      <c r="Q181" s="738"/>
      <c r="R181" s="635"/>
    </row>
    <row r="182">
      <c r="A182" s="1078"/>
      <c r="B182" s="1012"/>
      <c r="C182" s="1013"/>
      <c r="D182" s="738" t="s">
        <v>581</v>
      </c>
      <c r="E182" s="738" t="e">
        <f>IF(#REF!=0,0,#REF!)</f>
        <v>#REF!</v>
      </c>
      <c r="F182" s="738" t="e">
        <f>IF(#REF!=0,0,#REF!)</f>
        <v>#REF!</v>
      </c>
      <c r="G182" s="738" t="e">
        <f>IF(#REF!=0,0,#REF!)</f>
        <v>#REF!</v>
      </c>
      <c r="H182" s="738" t="e">
        <f>IF(#REF!=0,0,#REF!)</f>
        <v>#REF!</v>
      </c>
      <c r="I182" s="742" t="e">
        <f>IF(#REF!=0,0,#REF!)</f>
        <v>#REF!</v>
      </c>
      <c r="J182" s="738"/>
      <c r="K182" s="738"/>
      <c r="L182" s="738"/>
      <c r="M182" s="738"/>
      <c r="N182" s="738"/>
      <c r="O182" s="738"/>
      <c r="P182" s="738"/>
      <c r="Q182" s="738"/>
      <c r="R182" s="635"/>
    </row>
    <row r="183">
      <c r="A183" s="1078"/>
      <c r="B183" s="1012"/>
      <c r="C183" s="1013"/>
      <c r="D183" s="738" t="s">
        <v>582</v>
      </c>
      <c r="E183" s="738">
        <v>8</v>
      </c>
      <c r="F183" s="738">
        <v>14</v>
      </c>
      <c r="G183" s="738">
        <v>12</v>
      </c>
      <c r="H183" s="738">
        <v>10</v>
      </c>
      <c r="I183" s="742" t="e">
        <f>#REF!</f>
        <v>#REF!</v>
      </c>
      <c r="J183" s="738"/>
      <c r="K183" s="738"/>
      <c r="L183" s="738"/>
      <c r="M183" s="738"/>
      <c r="N183" s="738"/>
      <c r="O183" s="738"/>
      <c r="P183" s="738"/>
      <c r="Q183" s="738"/>
      <c r="R183" s="635"/>
    </row>
    <row r="184">
      <c r="A184" s="1078"/>
      <c r="B184" s="1012"/>
      <c r="C184" s="1013"/>
      <c r="D184" s="738"/>
      <c r="E184" s="738"/>
      <c r="F184" s="738"/>
      <c r="G184" s="738"/>
      <c r="H184" s="738"/>
      <c r="I184" s="742"/>
      <c r="J184" s="738"/>
      <c r="K184" s="738"/>
      <c r="L184" s="738" t="s">
        <v>583</v>
      </c>
      <c r="M184" s="738" t="s">
        <v>584</v>
      </c>
      <c r="N184" s="738"/>
      <c r="O184" s="738"/>
      <c r="P184" s="738"/>
      <c r="Q184" s="738"/>
      <c r="R184" s="635"/>
    </row>
    <row r="185">
      <c r="A185" s="1078"/>
      <c r="B185" s="1012"/>
      <c r="C185" s="1013"/>
      <c r="D185" s="738" t="s">
        <v>585</v>
      </c>
      <c r="E185" s="738" t="e">
        <f>IF(E182=0,E181,E181-E182-E183+10)</f>
        <v>#REF!</v>
      </c>
      <c r="F185" s="738" t="e">
        <f>IF(F182=0,F181,F181-F182-F183+10)</f>
        <v>#REF!</v>
      </c>
      <c r="G185" s="738" t="e">
        <f>IF(G182=0,G181,G181-G182-G183+10)</f>
        <v>#REF!</v>
      </c>
      <c r="H185" s="738" t="e">
        <f>IF(H182=0,H181,H181-H182-H183+10)</f>
        <v>#REF!</v>
      </c>
      <c r="I185" s="742" t="e">
        <f>IF(I182=0,I181,I181-I182-I183+10)</f>
        <v>#REF!</v>
      </c>
      <c r="J185" s="738"/>
      <c r="K185" s="738" t="s">
        <v>586</v>
      </c>
      <c r="L185" s="738">
        <f>IF(F142=1,F110,IF(F142=2E+185,IF(F142=3,F185,IF(F142=4,G185,IF(F142=5,H185,IF(F142=6,I185,"-----"))))))</f>
        <v>400</v>
      </c>
      <c r="M185" s="738">
        <f>IF(F142=1,F110-30,IF(F142=2,E186,IF(F142=3,F186,IF(F142=4,G186,IF(F142=5,H186,IF(F142=6,I186,"-----"))))))</f>
        <v>370</v>
      </c>
      <c r="N185" s="738"/>
      <c r="O185" s="738"/>
      <c r="P185" s="738"/>
      <c r="Q185" s="738"/>
      <c r="R185" s="635"/>
    </row>
    <row r="186">
      <c r="A186" s="1078"/>
      <c r="B186" s="1014"/>
      <c r="C186" s="1015"/>
      <c r="D186" s="743" t="s">
        <v>587</v>
      </c>
      <c r="E186" s="743" t="e">
        <f>E185-30</f>
        <v>#REF!</v>
      </c>
      <c r="F186" s="743" t="e">
        <f>F185-17</f>
        <v>#REF!</v>
      </c>
      <c r="G186" s="743" t="e">
        <f>G185-30</f>
        <v>#REF!</v>
      </c>
      <c r="H186" s="743" t="e">
        <f>H185-17</f>
        <v>#REF!</v>
      </c>
      <c r="I186" s="744" t="e">
        <f>I185-30</f>
        <v>#REF!</v>
      </c>
      <c r="J186" s="738"/>
      <c r="K186" s="738"/>
      <c r="L186" s="738"/>
      <c r="M186" s="738"/>
      <c r="N186" s="738"/>
      <c r="O186" s="738"/>
      <c r="P186" s="738"/>
      <c r="Q186" s="738"/>
      <c r="R186" s="635"/>
    </row>
    <row r="187">
      <c r="A187" s="1078"/>
      <c r="B187" s="745"/>
      <c r="C187" s="738"/>
      <c r="D187" s="738"/>
      <c r="E187" s="738"/>
      <c r="F187" s="738"/>
      <c r="G187" s="738"/>
      <c r="H187" s="738"/>
      <c r="I187" s="738"/>
      <c r="J187" s="738"/>
      <c r="K187" s="738"/>
      <c r="L187" s="738"/>
      <c r="M187" s="738"/>
      <c r="N187" s="738"/>
      <c r="O187" s="738"/>
      <c r="P187" s="738"/>
      <c r="Q187" s="738"/>
      <c r="R187" s="635"/>
    </row>
    <row r="188">
      <c r="A188" s="1078"/>
      <c r="B188" s="745"/>
      <c r="C188" s="738"/>
      <c r="D188" s="738"/>
      <c r="E188" s="738"/>
      <c r="F188" s="738"/>
      <c r="G188" s="738"/>
      <c r="H188" s="738"/>
      <c r="I188" s="738"/>
      <c r="J188" s="738"/>
      <c r="K188" s="738"/>
      <c r="L188" s="738"/>
      <c r="M188" s="738"/>
      <c r="N188" s="738"/>
      <c r="O188" s="738"/>
      <c r="P188" s="738"/>
      <c r="Q188" s="738"/>
      <c r="R188" s="635"/>
    </row>
    <row r="189">
      <c r="A189" s="1078"/>
      <c r="B189" s="1016" t="s">
        <v>588</v>
      </c>
      <c r="C189" s="1017"/>
      <c r="D189" s="746"/>
      <c r="E189" s="746" t="s">
        <v>575</v>
      </c>
      <c r="F189" s="746" t="s">
        <v>576</v>
      </c>
      <c r="G189" s="746" t="s">
        <v>577</v>
      </c>
      <c r="H189" s="746" t="s">
        <v>578</v>
      </c>
      <c r="I189" s="747" t="s">
        <v>579</v>
      </c>
      <c r="J189" s="738"/>
      <c r="K189" s="738"/>
      <c r="L189" s="738"/>
      <c r="M189" s="738"/>
      <c r="N189" s="738"/>
      <c r="O189" s="738"/>
      <c r="P189" s="738"/>
      <c r="Q189" s="738"/>
      <c r="R189" s="635"/>
    </row>
    <row r="190">
      <c r="A190" s="1078"/>
      <c r="B190" s="1012"/>
      <c r="C190" s="1013"/>
      <c r="D190" s="738" t="s">
        <v>580</v>
      </c>
      <c r="E190" s="739">
        <f>F110</f>
        <v>400</v>
      </c>
      <c r="F190" s="739">
        <f>F110</f>
        <v>400</v>
      </c>
      <c r="G190" s="739">
        <f>F110</f>
        <v>400</v>
      </c>
      <c r="H190" s="739">
        <f>F110</f>
        <v>400</v>
      </c>
      <c r="I190" s="741">
        <f>F110</f>
        <v>400</v>
      </c>
      <c r="J190" s="738"/>
      <c r="K190" s="738"/>
      <c r="L190" s="738"/>
      <c r="M190" s="738"/>
      <c r="N190" s="738"/>
      <c r="O190" s="738"/>
      <c r="P190" s="738"/>
      <c r="Q190" s="738"/>
      <c r="R190" s="635"/>
    </row>
    <row r="191">
      <c r="A191" s="1078"/>
      <c r="B191" s="1012"/>
      <c r="C191" s="1013"/>
      <c r="D191" s="738" t="s">
        <v>581</v>
      </c>
      <c r="E191" s="738" t="e">
        <f>IF(#REF!=0,0,#REF!)</f>
        <v>#REF!</v>
      </c>
      <c r="F191" s="738" t="e">
        <f>IF(#REF!=0,0,#REF!)</f>
        <v>#REF!</v>
      </c>
      <c r="G191" s="738" t="e">
        <f>IF(#REF!=0,0,#REF!)</f>
        <v>#REF!</v>
      </c>
      <c r="H191" s="738" t="e">
        <f>IF(#REF!=0,0,#REF!)</f>
        <v>#REF!</v>
      </c>
      <c r="I191" s="742" t="e">
        <f>IF(#REF!=0,0,#REF!)</f>
        <v>#REF!</v>
      </c>
      <c r="J191" s="738"/>
      <c r="K191" s="738"/>
      <c r="L191" s="738"/>
      <c r="M191" s="738"/>
      <c r="N191" s="738"/>
      <c r="O191" s="738"/>
      <c r="P191" s="738"/>
      <c r="Q191" s="738"/>
      <c r="R191" s="635"/>
    </row>
    <row r="192">
      <c r="A192" s="1078"/>
      <c r="B192" s="1012"/>
      <c r="C192" s="1013"/>
      <c r="D192" s="738" t="s">
        <v>582</v>
      </c>
      <c r="E192" s="738">
        <v>8</v>
      </c>
      <c r="F192" s="738">
        <v>14</v>
      </c>
      <c r="G192" s="738">
        <v>12</v>
      </c>
      <c r="H192" s="738">
        <v>10</v>
      </c>
      <c r="I192" s="742" t="e">
        <f>#REF!</f>
        <v>#REF!</v>
      </c>
      <c r="J192" s="738"/>
      <c r="K192" s="738"/>
      <c r="L192" s="738" t="s">
        <v>583</v>
      </c>
      <c r="M192" s="738" t="s">
        <v>584</v>
      </c>
      <c r="N192" s="738"/>
      <c r="O192" s="738"/>
      <c r="P192" s="738"/>
      <c r="Q192" s="738"/>
      <c r="R192" s="635"/>
    </row>
    <row r="193">
      <c r="A193" s="1078"/>
      <c r="B193" s="1012"/>
      <c r="C193" s="1013"/>
      <c r="D193" s="738"/>
      <c r="E193" s="738"/>
      <c r="F193" s="738"/>
      <c r="G193" s="738"/>
      <c r="H193" s="738"/>
      <c r="I193" s="742"/>
      <c r="J193" s="738"/>
      <c r="K193" s="738" t="s">
        <v>586</v>
      </c>
      <c r="L193" s="738">
        <f>IF(F142=1,F110,IF(F142=2,E194,IF(F142=3,F194,IF(F142=4,G194,IF(F142=5,H194,IF(F142=6,I194))))))</f>
        <v>400</v>
      </c>
      <c r="M193" s="738">
        <f>IF(F142=1,F110-30,IF(F142=2,E195,IF(F142=3,F195,IF(F142=4,G195,IF(F142=5,H195,IF(F142=6,I195))))))</f>
        <v>370</v>
      </c>
      <c r="N193" s="738"/>
      <c r="O193" s="738" t="s">
        <v>559</v>
      </c>
      <c r="P193" s="748" t="s">
        <v>589</v>
      </c>
      <c r="Q193" s="738"/>
      <c r="R193" s="635"/>
    </row>
    <row r="194">
      <c r="A194" s="1078"/>
      <c r="B194" s="1012"/>
      <c r="C194" s="1013"/>
      <c r="D194" s="738" t="s">
        <v>585</v>
      </c>
      <c r="E194" s="738" t="e">
        <f>IF(E191=0,E190,E190-E191-E192+11)</f>
        <v>#REF!</v>
      </c>
      <c r="F194" s="738" t="e">
        <f>IF(F191=0,F190,F190-F191-F192+11)</f>
        <v>#REF!</v>
      </c>
      <c r="G194" s="738" t="e">
        <f>IF(G191=0,G190,G190-G191-G192+11)</f>
        <v>#REF!</v>
      </c>
      <c r="H194" s="738" t="e">
        <f>IF(H191=0,H190,H190-H191-H192+11)</f>
        <v>#REF!</v>
      </c>
      <c r="I194" s="742" t="e">
        <f>IF(I191=0,I190,I190-I191-I192+11)</f>
        <v>#REF!</v>
      </c>
      <c r="J194" s="738"/>
      <c r="K194" s="738"/>
      <c r="L194" s="738"/>
      <c r="M194" s="738"/>
      <c r="N194" s="738"/>
      <c r="O194" s="738">
        <f>IF(B141=1,L185,IF(B141=3,L185,IF(B141=4,L202,IF(B141=2,L202,IF(B141=5,L193,"------")))))</f>
        <v>400</v>
      </c>
      <c r="P194" s="748">
        <f>IF(B141=1,M185,IF(B141=3,M185,IF(B141=4,M202,IF(B141=2,M202+2,IF(B141=5,M193,"------")))))</f>
        <v>372</v>
      </c>
      <c r="Q194" s="738"/>
      <c r="R194" s="635"/>
    </row>
    <row r="195">
      <c r="A195" s="1078"/>
      <c r="B195" s="1014"/>
      <c r="C195" s="1015"/>
      <c r="D195" s="743" t="s">
        <v>587</v>
      </c>
      <c r="E195" s="743" t="e">
        <f>E194-30</f>
        <v>#REF!</v>
      </c>
      <c r="F195" s="743" t="e">
        <f>F194-17</f>
        <v>#REF!</v>
      </c>
      <c r="G195" s="743" t="e">
        <f>G194-30</f>
        <v>#REF!</v>
      </c>
      <c r="H195" s="743" t="e">
        <f>H194-17</f>
        <v>#REF!</v>
      </c>
      <c r="I195" s="744" t="e">
        <f>I194-30</f>
        <v>#REF!</v>
      </c>
      <c r="J195" s="738"/>
      <c r="K195" s="738"/>
      <c r="L195" s="738"/>
      <c r="M195" s="738"/>
      <c r="N195" s="738"/>
      <c r="O195" s="738"/>
      <c r="P195" s="738"/>
      <c r="Q195" s="738"/>
      <c r="R195" s="635"/>
    </row>
    <row r="196">
      <c r="A196" s="1078"/>
      <c r="B196" s="745"/>
      <c r="C196" s="738"/>
      <c r="D196" s="738"/>
      <c r="E196" s="738"/>
      <c r="F196" s="738"/>
      <c r="G196" s="738"/>
      <c r="H196" s="738"/>
      <c r="I196" s="738"/>
      <c r="J196" s="738"/>
      <c r="K196" s="738"/>
      <c r="L196" s="738"/>
      <c r="M196" s="738"/>
      <c r="N196" s="738"/>
      <c r="O196" s="738"/>
      <c r="P196" s="738"/>
      <c r="Q196" s="738"/>
      <c r="R196" s="635"/>
    </row>
    <row r="197">
      <c r="A197" s="1078"/>
      <c r="B197" s="745"/>
      <c r="C197" s="738"/>
      <c r="D197" s="738"/>
      <c r="E197" s="738"/>
      <c r="F197" s="738"/>
      <c r="G197" s="738"/>
      <c r="H197" s="738"/>
      <c r="I197" s="738"/>
      <c r="J197" s="738"/>
      <c r="K197" s="738"/>
      <c r="L197" s="738"/>
      <c r="M197" s="738"/>
      <c r="N197" s="738"/>
      <c r="O197" s="738"/>
      <c r="P197" s="738"/>
      <c r="Q197" s="738"/>
      <c r="R197" s="635"/>
    </row>
    <row r="198">
      <c r="A198" s="1078"/>
      <c r="B198" s="1016" t="s">
        <v>590</v>
      </c>
      <c r="C198" s="1017"/>
      <c r="D198" s="746"/>
      <c r="E198" s="746" t="s">
        <v>575</v>
      </c>
      <c r="F198" s="746" t="s">
        <v>576</v>
      </c>
      <c r="G198" s="746" t="s">
        <v>577</v>
      </c>
      <c r="H198" s="746" t="s">
        <v>578</v>
      </c>
      <c r="I198" s="747" t="s">
        <v>579</v>
      </c>
      <c r="J198" s="738"/>
      <c r="K198" s="738"/>
      <c r="L198" s="738"/>
      <c r="M198" s="738"/>
      <c r="N198" s="738"/>
      <c r="O198" s="738"/>
      <c r="P198" s="738"/>
      <c r="Q198" s="738"/>
      <c r="R198" s="635"/>
    </row>
    <row r="199">
      <c r="A199" s="1078"/>
      <c r="B199" s="1012"/>
      <c r="C199" s="1013"/>
      <c r="D199" s="738" t="s">
        <v>580</v>
      </c>
      <c r="E199" s="739">
        <f>F110</f>
        <v>400</v>
      </c>
      <c r="F199" s="739">
        <f>F110</f>
        <v>400</v>
      </c>
      <c r="G199" s="739">
        <f>F110</f>
        <v>400</v>
      </c>
      <c r="H199" s="739">
        <f>F110</f>
        <v>400</v>
      </c>
      <c r="I199" s="741">
        <f>F110</f>
        <v>400</v>
      </c>
      <c r="J199" s="738"/>
      <c r="K199" s="738"/>
      <c r="L199" s="738"/>
      <c r="M199" s="738"/>
      <c r="N199" s="738"/>
      <c r="O199" s="738"/>
      <c r="P199" s="738"/>
      <c r="Q199" s="738"/>
      <c r="R199" s="635"/>
    </row>
    <row r="200">
      <c r="A200" s="1078"/>
      <c r="B200" s="1012"/>
      <c r="C200" s="1013"/>
      <c r="D200" s="738" t="s">
        <v>581</v>
      </c>
      <c r="E200" s="738" t="e">
        <f>IF(#REF!=0,0,#REF!)</f>
        <v>#REF!</v>
      </c>
      <c r="F200" s="738" t="e">
        <f>IF(#REF!=0,0,#REF!)</f>
        <v>#REF!</v>
      </c>
      <c r="G200" s="738" t="e">
        <f>IF(#REF!=0,0,#REF!)</f>
        <v>#REF!</v>
      </c>
      <c r="H200" s="738" t="e">
        <f>IF(#REF!=0,0,#REF!)</f>
        <v>#REF!</v>
      </c>
      <c r="I200" s="742" t="e">
        <f>IF(#REF!=0,0,#REF!)</f>
        <v>#REF!</v>
      </c>
      <c r="J200" s="738"/>
      <c r="K200" s="738"/>
      <c r="L200" s="738"/>
      <c r="M200" s="738"/>
      <c r="N200" s="738"/>
      <c r="O200" s="738"/>
      <c r="P200" s="738"/>
      <c r="Q200" s="738"/>
      <c r="R200" s="635"/>
    </row>
    <row r="201">
      <c r="A201" s="1078"/>
      <c r="B201" s="1012"/>
      <c r="C201" s="1013"/>
      <c r="D201" s="738" t="s">
        <v>582</v>
      </c>
      <c r="E201" s="738">
        <v>8</v>
      </c>
      <c r="F201" s="738">
        <v>14</v>
      </c>
      <c r="G201" s="738">
        <v>12</v>
      </c>
      <c r="H201" s="738">
        <v>10</v>
      </c>
      <c r="I201" s="742" t="e">
        <f>#REF!</f>
        <v>#REF!</v>
      </c>
      <c r="J201" s="738"/>
      <c r="K201" s="738"/>
      <c r="L201" s="738" t="s">
        <v>583</v>
      </c>
      <c r="M201" s="738" t="s">
        <v>584</v>
      </c>
      <c r="N201" s="738"/>
      <c r="O201" s="738"/>
      <c r="P201" s="738"/>
      <c r="Q201" s="738"/>
      <c r="R201" s="635"/>
    </row>
    <row r="202">
      <c r="A202" s="1078"/>
      <c r="B202" s="1012"/>
      <c r="C202" s="1013"/>
      <c r="D202" s="738"/>
      <c r="E202" s="738"/>
      <c r="F202" s="738"/>
      <c r="G202" s="738"/>
      <c r="H202" s="738"/>
      <c r="I202" s="742"/>
      <c r="J202" s="738"/>
      <c r="K202" s="738" t="s">
        <v>586</v>
      </c>
      <c r="L202" s="738">
        <f>IF(F142=1,F110,IF(F142=2,E203,IF(F142=3,F203,IF(F142=4,G203,IF(F142=5,H203,IF(F142=6,I203))))))</f>
        <v>400</v>
      </c>
      <c r="M202" s="738">
        <f>IF(F142=1,F110-30,IF(F142=2,E204,IF(F142=3,F204,IF(F142=4,G204,IF(F142=5,H204,IF(F142=6,I204))))))</f>
        <v>370</v>
      </c>
      <c r="N202" s="738"/>
      <c r="O202" s="738"/>
      <c r="P202" s="738"/>
      <c r="Q202" s="738"/>
      <c r="R202" s="635"/>
    </row>
    <row r="203">
      <c r="A203" s="1078"/>
      <c r="B203" s="1012"/>
      <c r="C203" s="1013"/>
      <c r="D203" s="738" t="s">
        <v>585</v>
      </c>
      <c r="E203" s="738" t="e">
        <f>IF(E200=0,E199,E199-E200-E201+11)</f>
        <v>#REF!</v>
      </c>
      <c r="F203" s="738" t="e">
        <f>IF(F200=0,F199,F199-F200-F201+11)</f>
        <v>#REF!</v>
      </c>
      <c r="G203" s="738" t="e">
        <f>IF(G200=0,G199,G199-G200-G201+11)</f>
        <v>#REF!</v>
      </c>
      <c r="H203" s="738" t="e">
        <f>IF(H200=0,H199,H199-H200-H201+11)</f>
        <v>#REF!</v>
      </c>
      <c r="I203" s="742" t="e">
        <f>IF(I200=0,I199,I199-I200-I201+11)</f>
        <v>#REF!</v>
      </c>
      <c r="J203" s="738"/>
      <c r="K203" s="738"/>
      <c r="L203" s="738"/>
      <c r="M203" s="738"/>
      <c r="N203" s="738"/>
      <c r="O203" s="738"/>
      <c r="P203" s="738"/>
      <c r="Q203" s="738"/>
      <c r="R203" s="635"/>
    </row>
    <row r="204" ht="15">
      <c r="A204" s="1078"/>
      <c r="B204" s="1018"/>
      <c r="C204" s="1019"/>
      <c r="D204" s="749" t="s">
        <v>587</v>
      </c>
      <c r="E204" s="749" t="e">
        <f>E203-30</f>
        <v>#REF!</v>
      </c>
      <c r="F204" s="749" t="e">
        <f>F203-13</f>
        <v>#REF!</v>
      </c>
      <c r="G204" s="749" t="e">
        <f>G203-30</f>
        <v>#REF!</v>
      </c>
      <c r="H204" s="749" t="e">
        <f>H203-13</f>
        <v>#REF!</v>
      </c>
      <c r="I204" s="750" t="e">
        <f>I203-30</f>
        <v>#REF!</v>
      </c>
      <c r="J204" s="749"/>
      <c r="K204" s="749"/>
      <c r="L204" s="749"/>
      <c r="M204" s="749"/>
      <c r="N204" s="749"/>
      <c r="O204" s="749"/>
      <c r="P204" s="749"/>
      <c r="Q204" s="749"/>
      <c r="R204" s="635"/>
    </row>
    <row r="205" ht="18.6">
      <c r="A205" s="1078"/>
      <c r="B205" s="527"/>
      <c r="C205" s="527"/>
      <c r="D205" s="527"/>
      <c r="E205" s="527"/>
      <c r="F205" s="527"/>
      <c r="G205" s="527"/>
      <c r="H205" s="527"/>
      <c r="I205" s="527"/>
      <c r="J205" s="527"/>
      <c r="K205" s="527"/>
      <c r="L205" s="527"/>
      <c r="M205" s="527"/>
      <c r="N205" s="527"/>
      <c r="O205" s="527"/>
      <c r="P205" s="527"/>
      <c r="Q205" s="751"/>
      <c r="R205" s="635"/>
    </row>
    <row r="206" ht="18">
      <c r="A206" s="1078"/>
      <c r="B206" s="752"/>
      <c r="C206" s="753"/>
      <c r="D206" s="753"/>
      <c r="E206" s="753"/>
      <c r="F206" s="753"/>
      <c r="G206" s="753"/>
      <c r="H206" s="753"/>
      <c r="I206" s="753"/>
      <c r="J206" s="753"/>
      <c r="K206" s="753"/>
      <c r="L206" s="753"/>
      <c r="M206" s="753"/>
      <c r="N206" s="753"/>
      <c r="O206" s="753"/>
      <c r="P206" s="754"/>
      <c r="Q206" s="755"/>
      <c r="R206" s="635"/>
    </row>
    <row r="207" ht="18">
      <c r="A207" s="1078"/>
      <c r="B207" s="756"/>
      <c r="C207" s="757"/>
      <c r="D207" s="757"/>
      <c r="E207" s="757"/>
      <c r="F207" s="757"/>
      <c r="G207" s="757"/>
      <c r="H207" s="757"/>
      <c r="I207" s="757"/>
      <c r="J207" s="757"/>
      <c r="K207" s="757" t="s">
        <v>392</v>
      </c>
      <c r="L207" s="757" t="s">
        <v>591</v>
      </c>
      <c r="M207" s="757"/>
      <c r="N207" s="757"/>
      <c r="O207" s="757"/>
      <c r="P207" s="758" t="s">
        <v>592</v>
      </c>
      <c r="Q207" s="755"/>
      <c r="R207" s="635"/>
    </row>
    <row r="208" ht="18">
      <c r="A208" s="1078"/>
      <c r="B208" s="756" t="s">
        <v>373</v>
      </c>
      <c r="C208" s="757" t="str">
        <f>C151</f>
        <v>EVO 150X70</v>
      </c>
      <c r="D208" s="757"/>
      <c r="E208" s="757"/>
      <c r="F208" s="757"/>
      <c r="G208" s="757"/>
      <c r="H208" s="757"/>
      <c r="I208" s="757"/>
      <c r="J208" s="757"/>
      <c r="K208" s="759">
        <v>3</v>
      </c>
      <c r="L208" s="759">
        <v>2</v>
      </c>
      <c r="M208" s="757"/>
      <c r="N208" s="757"/>
      <c r="O208" s="757"/>
      <c r="P208" s="758"/>
      <c r="Q208" s="755"/>
      <c r="R208" s="635"/>
    </row>
    <row r="209" ht="18">
      <c r="A209" s="1078"/>
      <c r="B209" s="756" t="s">
        <v>593</v>
      </c>
      <c r="C209" s="760">
        <f>D110</f>
        <v>350</v>
      </c>
      <c r="D209" s="757"/>
      <c r="E209" s="757"/>
      <c r="F209" s="757"/>
      <c r="G209" s="757"/>
      <c r="H209" s="757"/>
      <c r="I209" s="757"/>
      <c r="J209" s="757"/>
      <c r="K209" s="759">
        <v>4</v>
      </c>
      <c r="L209" s="759">
        <v>2</v>
      </c>
      <c r="M209" s="757"/>
      <c r="N209" s="757"/>
      <c r="O209" s="757"/>
      <c r="P209" s="758"/>
      <c r="Q209" s="755"/>
      <c r="R209" s="635"/>
    </row>
    <row r="210" ht="18">
      <c r="A210" s="1078"/>
      <c r="B210" s="756" t="s">
        <v>583</v>
      </c>
      <c r="C210" s="760">
        <f>F110</f>
        <v>400</v>
      </c>
      <c r="D210" s="757"/>
      <c r="E210" s="757"/>
      <c r="F210" s="757"/>
      <c r="G210" s="757"/>
      <c r="H210" s="757"/>
      <c r="I210" s="757"/>
      <c r="J210" s="757"/>
      <c r="K210" s="759">
        <v>5</v>
      </c>
      <c r="L210" s="759">
        <v>3</v>
      </c>
      <c r="M210" s="757">
        <f>IF(C211&lt;3,2,IF(C211&lt;4,2,IF(C211&lt;5,2,IF(C211&lt;6,3,IF(C211&lt;7,3,IF(C211&lt;8,3,IF(C211&lt;8,4,M216)))))))</f>
        <v>3</v>
      </c>
      <c r="N210" s="757"/>
      <c r="O210" s="757"/>
      <c r="P210" s="758"/>
      <c r="Q210" s="755"/>
      <c r="R210" s="635"/>
    </row>
    <row r="211" ht="18">
      <c r="A211" s="1078"/>
      <c r="B211" s="756" t="s">
        <v>392</v>
      </c>
      <c r="C211" s="757">
        <f>H71</f>
        <v>5</v>
      </c>
      <c r="D211" s="757" t="s">
        <v>394</v>
      </c>
      <c r="E211" s="757">
        <v>2</v>
      </c>
      <c r="F211" s="757"/>
      <c r="G211" s="757"/>
      <c r="H211" s="757"/>
      <c r="I211" s="757"/>
      <c r="J211" s="757"/>
      <c r="K211" s="759">
        <v>6</v>
      </c>
      <c r="L211" s="759">
        <v>3</v>
      </c>
      <c r="M211" s="757"/>
      <c r="N211" s="757"/>
      <c r="O211" s="757"/>
      <c r="P211" s="758"/>
      <c r="Q211" s="755"/>
      <c r="R211" s="635"/>
    </row>
    <row r="212" ht="18">
      <c r="A212" s="1078"/>
      <c r="B212" s="756"/>
      <c r="C212" s="757"/>
      <c r="D212" s="757"/>
      <c r="E212" s="757"/>
      <c r="F212" s="757"/>
      <c r="G212" s="757"/>
      <c r="H212" s="757"/>
      <c r="I212" s="757"/>
      <c r="J212" s="757"/>
      <c r="K212" s="759">
        <v>7</v>
      </c>
      <c r="L212" s="759">
        <v>3</v>
      </c>
      <c r="M212" s="757"/>
      <c r="N212" s="757"/>
      <c r="O212" s="757"/>
      <c r="P212" s="758"/>
      <c r="Q212" s="755"/>
      <c r="R212" s="635"/>
    </row>
    <row r="213" ht="18">
      <c r="A213" s="1078"/>
      <c r="B213" s="756"/>
      <c r="C213" s="757"/>
      <c r="D213" s="757"/>
      <c r="E213" s="757"/>
      <c r="F213" s="757"/>
      <c r="G213" s="757"/>
      <c r="H213" s="757"/>
      <c r="I213" s="757"/>
      <c r="J213" s="757"/>
      <c r="K213" s="761">
        <v>8</v>
      </c>
      <c r="L213" s="761">
        <v>4</v>
      </c>
      <c r="M213" s="757"/>
      <c r="N213" s="757"/>
      <c r="O213" s="757"/>
      <c r="P213" s="758">
        <f>IF(C211&lt;8,M210,IF(C211&lt;15,M216,IF(C211&lt;21,M222,"-------")))</f>
        <v>3</v>
      </c>
      <c r="Q213" s="755"/>
      <c r="R213" s="635"/>
    </row>
    <row r="214" ht="18">
      <c r="A214" s="1078"/>
      <c r="B214" s="756" t="s">
        <v>594</v>
      </c>
      <c r="C214" s="757">
        <f>P213</f>
        <v>3</v>
      </c>
      <c r="D214" s="757"/>
      <c r="E214" s="757"/>
      <c r="F214" s="757"/>
      <c r="G214" s="757"/>
      <c r="H214" s="757"/>
      <c r="I214" s="757"/>
      <c r="J214" s="757"/>
      <c r="K214" s="759">
        <v>9</v>
      </c>
      <c r="L214" s="759">
        <v>4</v>
      </c>
      <c r="M214" s="757"/>
      <c r="N214" s="757"/>
      <c r="O214" s="757"/>
      <c r="P214" s="758"/>
      <c r="Q214" s="755"/>
      <c r="R214" s="635"/>
    </row>
    <row r="215" ht="18">
      <c r="A215" s="1078"/>
      <c r="B215" s="762" t="s">
        <v>595</v>
      </c>
      <c r="C215" s="763">
        <f>(((C209-(D125*2))/200)+1)*C214</f>
        <v>6.75</v>
      </c>
      <c r="D215" s="1004" t="s">
        <v>596</v>
      </c>
      <c r="E215" s="1004"/>
      <c r="F215" s="764">
        <f>ROUND(C215,0)</f>
        <v>7</v>
      </c>
      <c r="G215" s="757"/>
      <c r="H215" s="757"/>
      <c r="I215" s="757"/>
      <c r="J215" s="757"/>
      <c r="K215" s="759">
        <v>10</v>
      </c>
      <c r="L215" s="759">
        <v>4</v>
      </c>
      <c r="M215" s="757"/>
      <c r="N215" s="757"/>
      <c r="O215" s="757"/>
      <c r="P215" s="758"/>
      <c r="Q215" s="755"/>
      <c r="R215" s="635"/>
    </row>
    <row r="216" ht="18">
      <c r="A216" s="1078"/>
      <c r="B216" s="762" t="s">
        <v>597</v>
      </c>
      <c r="C216" s="763">
        <f>F215/C214</f>
        <v>2.3333333333333335</v>
      </c>
      <c r="D216" s="1004" t="s">
        <v>596</v>
      </c>
      <c r="E216" s="1004"/>
      <c r="F216" s="764">
        <f>ROUND(C216,0)</f>
        <v>2</v>
      </c>
      <c r="G216" s="757"/>
      <c r="H216" s="757"/>
      <c r="I216" s="757"/>
      <c r="J216" s="757"/>
      <c r="K216" s="759">
        <v>11</v>
      </c>
      <c r="L216" s="759">
        <v>5</v>
      </c>
      <c r="M216" s="757">
        <f>IF(C211&lt;9,4,IF(C211&lt;10,4,IF(C211&lt;11,4,IF(C211&lt;12,5,IF(C211&lt;13,5,IF(C211&lt;14,5,IF(C211&lt;15,5,M222)))))))</f>
        <v>4</v>
      </c>
      <c r="N216" s="757"/>
      <c r="O216" s="757"/>
      <c r="P216" s="758"/>
      <c r="Q216" s="755"/>
      <c r="R216" s="635"/>
    </row>
    <row r="217" ht="18">
      <c r="A217" s="1078"/>
      <c r="B217" s="762" t="s">
        <v>598</v>
      </c>
      <c r="C217" s="764">
        <f>F216*C214</f>
        <v>6</v>
      </c>
      <c r="D217" s="757"/>
      <c r="E217" s="757"/>
      <c r="F217" s="757"/>
      <c r="G217" s="757"/>
      <c r="H217" s="757"/>
      <c r="I217" s="757"/>
      <c r="J217" s="757"/>
      <c r="K217" s="759">
        <v>12</v>
      </c>
      <c r="L217" s="759">
        <v>5</v>
      </c>
      <c r="M217" s="757"/>
      <c r="N217" s="757"/>
      <c r="O217" s="757"/>
      <c r="P217" s="758"/>
      <c r="Q217" s="755"/>
      <c r="R217" s="635"/>
    </row>
    <row r="218" ht="18">
      <c r="A218" s="1078"/>
      <c r="B218" s="756"/>
      <c r="C218" s="757"/>
      <c r="D218" s="757"/>
      <c r="E218" s="757"/>
      <c r="F218" s="757"/>
      <c r="G218" s="757"/>
      <c r="H218" s="757"/>
      <c r="I218" s="757"/>
      <c r="J218" s="757"/>
      <c r="K218" s="759">
        <v>13</v>
      </c>
      <c r="L218" s="759">
        <v>5</v>
      </c>
      <c r="M218" s="757"/>
      <c r="N218" s="757"/>
      <c r="O218" s="757"/>
      <c r="P218" s="758"/>
      <c r="Q218" s="755"/>
      <c r="R218" s="635"/>
    </row>
    <row r="219" ht="18">
      <c r="A219" s="1078"/>
      <c r="B219" s="756"/>
      <c r="C219" s="757"/>
      <c r="D219" s="757"/>
      <c r="E219" s="757"/>
      <c r="F219" s="757"/>
      <c r="G219" s="757"/>
      <c r="H219" s="757"/>
      <c r="I219" s="757"/>
      <c r="J219" s="757"/>
      <c r="K219" s="761">
        <v>14</v>
      </c>
      <c r="L219" s="761">
        <v>5</v>
      </c>
      <c r="M219" s="757"/>
      <c r="N219" s="757"/>
      <c r="O219" s="757"/>
      <c r="P219" s="758"/>
      <c r="Q219" s="755"/>
      <c r="R219" s="635"/>
    </row>
    <row r="220" ht="18">
      <c r="A220" s="1078"/>
      <c r="B220" s="756"/>
      <c r="C220" s="757"/>
      <c r="D220" s="757"/>
      <c r="E220" s="757"/>
      <c r="F220" s="757"/>
      <c r="G220" s="757"/>
      <c r="H220" s="757"/>
      <c r="I220" s="757"/>
      <c r="J220" s="757"/>
      <c r="K220" s="759">
        <v>15</v>
      </c>
      <c r="L220" s="759">
        <v>5</v>
      </c>
      <c r="M220" s="757"/>
      <c r="N220" s="757"/>
      <c r="O220" s="757"/>
      <c r="P220" s="758"/>
      <c r="Q220" s="755"/>
      <c r="R220" s="635"/>
    </row>
    <row r="221" ht="18">
      <c r="A221" s="1078"/>
      <c r="B221" s="756"/>
      <c r="C221" s="757"/>
      <c r="D221" s="757"/>
      <c r="E221" s="757"/>
      <c r="F221" s="757"/>
      <c r="G221" s="757"/>
      <c r="H221" s="757"/>
      <c r="I221" s="757"/>
      <c r="J221" s="757"/>
      <c r="K221" s="759">
        <v>16</v>
      </c>
      <c r="L221" s="759">
        <v>6</v>
      </c>
      <c r="M221" s="757"/>
      <c r="N221" s="757"/>
      <c r="O221" s="757"/>
      <c r="P221" s="758"/>
      <c r="Q221" s="755"/>
      <c r="R221" s="635"/>
    </row>
    <row r="222" ht="18">
      <c r="A222" s="1078"/>
      <c r="B222" s="756"/>
      <c r="C222" s="757"/>
      <c r="D222" s="757"/>
      <c r="E222" s="757"/>
      <c r="F222" s="757"/>
      <c r="G222" s="757"/>
      <c r="H222" s="757"/>
      <c r="I222" s="757"/>
      <c r="J222" s="757"/>
      <c r="K222" s="759">
        <v>17</v>
      </c>
      <c r="L222" s="759">
        <v>6</v>
      </c>
      <c r="M222" s="757">
        <f>IF(C211&lt;16,5,IF(C211&lt;17,6,IF(C211&lt;18,6,IF(C211&lt;19,6,IF(C211&lt;20,6,IF(C211&lt;21,6,"-------"))))))</f>
        <v>5</v>
      </c>
      <c r="N222" s="757"/>
      <c r="O222" s="757"/>
      <c r="P222" s="758"/>
      <c r="Q222" s="755"/>
      <c r="R222" s="635"/>
    </row>
    <row r="223" ht="18">
      <c r="A223" s="1078"/>
      <c r="B223" s="756"/>
      <c r="C223" s="757"/>
      <c r="D223" s="757"/>
      <c r="E223" s="757"/>
      <c r="F223" s="757"/>
      <c r="G223" s="757"/>
      <c r="H223" s="757"/>
      <c r="I223" s="757"/>
      <c r="J223" s="757"/>
      <c r="K223" s="759">
        <v>18</v>
      </c>
      <c r="L223" s="759">
        <v>6</v>
      </c>
      <c r="M223" s="757"/>
      <c r="N223" s="757"/>
      <c r="O223" s="757"/>
      <c r="P223" s="758"/>
      <c r="Q223" s="755"/>
      <c r="R223" s="635"/>
    </row>
    <row r="224" ht="18">
      <c r="A224" s="1078"/>
      <c r="B224" s="756"/>
      <c r="C224" s="757"/>
      <c r="D224" s="757"/>
      <c r="E224" s="757"/>
      <c r="F224" s="757"/>
      <c r="G224" s="757"/>
      <c r="H224" s="757"/>
      <c r="I224" s="757"/>
      <c r="J224" s="757"/>
      <c r="K224" s="759">
        <v>19</v>
      </c>
      <c r="L224" s="759">
        <v>6</v>
      </c>
      <c r="M224" s="757"/>
      <c r="N224" s="757"/>
      <c r="O224" s="757"/>
      <c r="P224" s="758"/>
      <c r="Q224" s="755"/>
      <c r="R224" s="635"/>
    </row>
    <row r="225" ht="18.6">
      <c r="A225" s="1078"/>
      <c r="B225" s="765"/>
      <c r="C225" s="766"/>
      <c r="D225" s="766"/>
      <c r="E225" s="766"/>
      <c r="F225" s="766"/>
      <c r="G225" s="766"/>
      <c r="H225" s="766"/>
      <c r="I225" s="766"/>
      <c r="J225" s="766"/>
      <c r="K225" s="767">
        <v>20</v>
      </c>
      <c r="L225" s="767">
        <v>6</v>
      </c>
      <c r="M225" s="766"/>
      <c r="N225" s="766"/>
      <c r="O225" s="766"/>
      <c r="P225" s="768"/>
      <c r="Q225" s="755"/>
      <c r="R225" s="635"/>
    </row>
    <row r="226" ht="18.6">
      <c r="A226" s="1078"/>
      <c r="B226" s="527"/>
      <c r="C226" s="527"/>
      <c r="D226" s="527"/>
      <c r="E226" s="527"/>
      <c r="F226" s="527"/>
      <c r="G226" s="527"/>
      <c r="H226" s="527"/>
      <c r="I226" s="527"/>
      <c r="J226" s="527"/>
      <c r="K226" s="527"/>
      <c r="L226" s="527"/>
      <c r="M226" s="527"/>
      <c r="N226" s="527"/>
      <c r="O226" s="527"/>
      <c r="P226" s="527"/>
      <c r="Q226" s="677"/>
      <c r="R226" s="635"/>
    </row>
    <row r="227" ht="18">
      <c r="A227" s="1078"/>
      <c r="B227" s="769" t="s">
        <v>373</v>
      </c>
      <c r="C227" s="770" t="s">
        <v>583</v>
      </c>
      <c r="D227" s="770" t="s">
        <v>599</v>
      </c>
      <c r="E227" s="770"/>
      <c r="F227" s="770"/>
      <c r="G227" s="770"/>
      <c r="H227" s="770"/>
      <c r="I227" s="770"/>
      <c r="J227" s="770"/>
      <c r="K227" s="770"/>
      <c r="L227" s="771"/>
      <c r="M227" s="527"/>
      <c r="N227" s="527"/>
      <c r="O227" s="527"/>
      <c r="P227" s="527"/>
      <c r="Q227" s="677"/>
      <c r="R227" s="635"/>
    </row>
    <row r="228" ht="18">
      <c r="A228" s="1078"/>
      <c r="B228" s="772" t="str">
        <f>IF(B141=1,B136,IF(B141=2,B137,IF(B141=3,B138,IF(B141=4,B139,IF(B141=5,B140)))))</f>
        <v>EVO 150X70</v>
      </c>
      <c r="C228" s="773">
        <f>F110</f>
        <v>400</v>
      </c>
      <c r="D228" s="774" t="str">
        <f>IF(O142=1,O136,IF(O142=2,O137,IF(O142=3,O138,IF(O142=4,O139,IF(O142=5,O140,IF(O142=6,O141,"--------"))))))</f>
        <v>13cm</v>
      </c>
      <c r="E228" s="774"/>
      <c r="F228" s="774"/>
      <c r="G228" s="774"/>
      <c r="H228" s="774"/>
      <c r="I228" s="774"/>
      <c r="J228" s="774"/>
      <c r="K228" s="774"/>
      <c r="L228" s="775"/>
      <c r="M228" s="527"/>
      <c r="N228" s="527"/>
      <c r="O228" s="527"/>
      <c r="P228" s="527"/>
      <c r="Q228" s="677"/>
      <c r="R228" s="635"/>
    </row>
    <row r="229" ht="18">
      <c r="A229" s="1078"/>
      <c r="B229" s="772"/>
      <c r="C229" s="774"/>
      <c r="D229" s="774"/>
      <c r="E229" s="774"/>
      <c r="F229" s="774"/>
      <c r="G229" s="774"/>
      <c r="H229" s="774"/>
      <c r="I229" s="774"/>
      <c r="J229" s="774"/>
      <c r="K229" s="774"/>
      <c r="L229" s="775"/>
      <c r="M229" s="527"/>
      <c r="N229" s="527"/>
      <c r="O229" s="527"/>
      <c r="P229" s="527"/>
      <c r="Q229" s="677"/>
      <c r="R229" s="635"/>
    </row>
    <row r="230" ht="18">
      <c r="A230" s="1078"/>
      <c r="B230" s="772"/>
      <c r="C230" s="774"/>
      <c r="D230" s="774"/>
      <c r="E230" s="774"/>
      <c r="F230" s="774"/>
      <c r="G230" s="774"/>
      <c r="H230" s="774"/>
      <c r="I230" s="774"/>
      <c r="J230" s="774"/>
      <c r="K230" s="774"/>
      <c r="L230" s="775"/>
      <c r="M230" s="527"/>
      <c r="N230" s="527"/>
      <c r="O230" s="527"/>
      <c r="P230" s="527"/>
      <c r="Q230" s="677"/>
      <c r="R230" s="635"/>
    </row>
    <row r="231" ht="18">
      <c r="A231" s="1078"/>
      <c r="B231" s="776"/>
      <c r="C231" s="777"/>
      <c r="D231" s="777"/>
      <c r="E231" s="777"/>
      <c r="F231" s="777"/>
      <c r="G231" s="777"/>
      <c r="H231" s="777"/>
      <c r="I231" s="777"/>
      <c r="J231" s="777"/>
      <c r="K231" s="777"/>
      <c r="L231" s="778"/>
      <c r="M231" s="527"/>
      <c r="N231" s="527"/>
      <c r="O231" s="527"/>
      <c r="P231" s="527"/>
      <c r="Q231" s="677"/>
      <c r="R231" s="635"/>
    </row>
    <row r="232" ht="18">
      <c r="A232" s="1078"/>
      <c r="B232" s="772" t="s">
        <v>600</v>
      </c>
      <c r="C232" s="774"/>
      <c r="D232" s="774">
        <f>IF(O142=1,C228-32,IF(O142=2,C228-43,"-------"))</f>
        <v>368</v>
      </c>
      <c r="E232" s="774"/>
      <c r="F232" s="774"/>
      <c r="G232" s="774"/>
      <c r="H232" s="774"/>
      <c r="I232" s="774"/>
      <c r="J232" s="774"/>
      <c r="K232" s="774"/>
      <c r="L232" s="775"/>
      <c r="M232" s="527"/>
      <c r="N232" s="527"/>
      <c r="O232" s="527"/>
      <c r="P232" s="527"/>
      <c r="Q232" s="677"/>
      <c r="R232" s="635"/>
    </row>
    <row r="233" ht="18">
      <c r="A233" s="1078"/>
      <c r="B233" s="772" t="s">
        <v>601</v>
      </c>
      <c r="C233" s="774"/>
      <c r="D233" s="774">
        <f>IF(O142=1,C228-35,IF(O142=3,C228-36,IF(O142=4,C228-32,"-------")))</f>
        <v>365</v>
      </c>
      <c r="E233" s="774"/>
      <c r="F233" s="774"/>
      <c r="G233" s="774"/>
      <c r="H233" s="774"/>
      <c r="I233" s="1005" t="s">
        <v>602</v>
      </c>
      <c r="J233" s="1005"/>
      <c r="K233" s="1005"/>
      <c r="L233" s="1006"/>
      <c r="M233" s="527"/>
      <c r="N233" s="527"/>
      <c r="O233" s="527"/>
      <c r="P233" s="527"/>
      <c r="Q233" s="677"/>
      <c r="R233" s="635"/>
    </row>
    <row r="234" ht="18">
      <c r="A234" s="1078"/>
      <c r="B234" s="772" t="s">
        <v>603</v>
      </c>
      <c r="C234" s="774"/>
      <c r="D234" s="774">
        <f>IF(O142=1,C228-32,"-------")</f>
        <v>368</v>
      </c>
      <c r="E234" s="774"/>
      <c r="F234" s="774"/>
      <c r="G234" s="774">
        <f>IF(B141=1,D232,IF(B141=2,D233,IF(B141=3,D234,IF(B141=4,D235,IF(B141=5,D236)))))</f>
        <v>365</v>
      </c>
      <c r="H234" s="774"/>
      <c r="I234" s="1005"/>
      <c r="J234" s="1005"/>
      <c r="K234" s="1005"/>
      <c r="L234" s="1006"/>
      <c r="M234" s="527"/>
      <c r="N234" s="527"/>
      <c r="O234" s="527"/>
      <c r="P234" s="527"/>
      <c r="Q234" s="677"/>
      <c r="R234" s="635"/>
    </row>
    <row r="235" ht="18">
      <c r="A235" s="1078"/>
      <c r="B235" s="772" t="s">
        <v>604</v>
      </c>
      <c r="C235" s="774"/>
      <c r="D235" s="774" t="str">
        <f>IF(O142=5,C228-35,IF(O142=6,C228-31,"-------"))</f>
        <v>-------</v>
      </c>
      <c r="E235" s="774"/>
      <c r="F235" s="774"/>
      <c r="G235" s="774"/>
      <c r="H235" s="774"/>
      <c r="I235" s="1005"/>
      <c r="J235" s="1005"/>
      <c r="K235" s="1005"/>
      <c r="L235" s="1006"/>
      <c r="M235" s="527"/>
      <c r="N235" s="527"/>
      <c r="O235" s="527"/>
      <c r="P235" s="527"/>
      <c r="Q235" s="677"/>
      <c r="R235" s="635"/>
    </row>
    <row r="236" ht="18">
      <c r="A236" s="1078"/>
      <c r="B236" s="772" t="s">
        <v>605</v>
      </c>
      <c r="C236" s="774"/>
      <c r="D236" s="774">
        <f>C228-32</f>
        <v>368</v>
      </c>
      <c r="E236" s="774"/>
      <c r="F236" s="774"/>
      <c r="G236" s="774"/>
      <c r="H236" s="774"/>
      <c r="I236" s="774"/>
      <c r="J236" s="774"/>
      <c r="K236" s="774"/>
      <c r="L236" s="775"/>
      <c r="M236" s="527"/>
      <c r="N236" s="527"/>
      <c r="O236" s="527"/>
      <c r="P236" s="527"/>
      <c r="Q236" s="677"/>
      <c r="R236" s="635"/>
    </row>
    <row r="237" ht="18">
      <c r="A237" s="1078"/>
      <c r="B237" s="779"/>
      <c r="C237" s="780"/>
      <c r="D237" s="780"/>
      <c r="E237" s="780"/>
      <c r="F237" s="780"/>
      <c r="G237" s="780"/>
      <c r="H237" s="780"/>
      <c r="I237" s="780"/>
      <c r="J237" s="780"/>
      <c r="K237" s="780"/>
      <c r="L237" s="781"/>
      <c r="M237" s="527"/>
      <c r="N237" s="527"/>
      <c r="O237" s="527"/>
      <c r="P237" s="527"/>
      <c r="Q237" s="677"/>
      <c r="R237" s="635"/>
    </row>
    <row r="238" ht="18">
      <c r="A238" s="1078"/>
      <c r="B238" s="772"/>
      <c r="C238" s="774"/>
      <c r="D238" s="774"/>
      <c r="E238" s="774"/>
      <c r="F238" s="774"/>
      <c r="G238" s="774"/>
      <c r="H238" s="774"/>
      <c r="I238" s="774"/>
      <c r="J238" s="774"/>
      <c r="K238" s="774"/>
      <c r="L238" s="775"/>
      <c r="M238" s="527"/>
      <c r="N238" s="527"/>
      <c r="O238" s="527"/>
      <c r="P238" s="527"/>
      <c r="Q238" s="677"/>
      <c r="R238" s="635"/>
    </row>
    <row r="239" ht="18">
      <c r="A239" s="1078"/>
      <c r="B239" s="776"/>
      <c r="C239" s="777"/>
      <c r="D239" s="777"/>
      <c r="E239" s="777"/>
      <c r="F239" s="777"/>
      <c r="G239" s="777"/>
      <c r="H239" s="777"/>
      <c r="I239" s="777"/>
      <c r="J239" s="777"/>
      <c r="K239" s="777"/>
      <c r="L239" s="778"/>
      <c r="M239" s="527"/>
      <c r="N239" s="527"/>
      <c r="O239" s="527"/>
      <c r="P239" s="527"/>
      <c r="Q239" s="677"/>
      <c r="R239" s="635"/>
    </row>
    <row r="240" ht="18">
      <c r="A240" s="1078"/>
      <c r="B240" s="772" t="s">
        <v>600</v>
      </c>
      <c r="C240" s="774"/>
      <c r="D240" s="774">
        <f>IF(O142=1,C228,IF(O142=2,C228-11,"-------"))</f>
        <v>400</v>
      </c>
      <c r="E240" s="774"/>
      <c r="F240" s="774"/>
      <c r="G240" s="774"/>
      <c r="H240" s="774"/>
      <c r="I240" s="774"/>
      <c r="J240" s="774"/>
      <c r="K240" s="774"/>
      <c r="L240" s="775"/>
      <c r="M240" s="527"/>
      <c r="N240" s="527"/>
      <c r="O240" s="527"/>
      <c r="P240" s="527"/>
      <c r="Q240" s="677"/>
      <c r="R240" s="635"/>
    </row>
    <row r="241" ht="18">
      <c r="A241" s="1078"/>
      <c r="B241" s="772" t="s">
        <v>601</v>
      </c>
      <c r="C241" s="774"/>
      <c r="D241" s="774">
        <f>IF(O142=3,C228-5,IF(O142=1,C228,IF(O142=4,C228,"-------")))</f>
        <v>400</v>
      </c>
      <c r="E241" s="774"/>
      <c r="F241" s="774"/>
      <c r="G241" s="774"/>
      <c r="H241" s="774"/>
      <c r="I241" s="1005" t="s">
        <v>606</v>
      </c>
      <c r="J241" s="1005"/>
      <c r="K241" s="1005"/>
      <c r="L241" s="1006"/>
      <c r="M241" s="527"/>
      <c r="N241" s="527"/>
      <c r="O241" s="527"/>
      <c r="P241" s="527"/>
      <c r="Q241" s="677"/>
      <c r="R241" s="635"/>
    </row>
    <row r="242" ht="18">
      <c r="A242" s="1078"/>
      <c r="B242" s="772" t="s">
        <v>603</v>
      </c>
      <c r="C242" s="774"/>
      <c r="D242" s="774">
        <f>IF(O142=1,C228,"-------")</f>
        <v>400</v>
      </c>
      <c r="E242" s="774"/>
      <c r="F242" s="774"/>
      <c r="G242" s="774">
        <f>IF(B141=1,D240,IF(B141=2,D241,IF(B141=3,D242,IF(B141=4,D243,IF(B141=5,#REF!)))))</f>
        <v>400</v>
      </c>
      <c r="H242" s="774"/>
      <c r="I242" s="1005"/>
      <c r="J242" s="1005"/>
      <c r="K242" s="1005"/>
      <c r="L242" s="1006"/>
      <c r="M242" s="527"/>
      <c r="N242" s="527"/>
      <c r="O242" s="527"/>
      <c r="P242" s="527"/>
      <c r="Q242" s="677"/>
      <c r="R242" s="635"/>
    </row>
    <row r="243" ht="18">
      <c r="A243" s="1078"/>
      <c r="B243" s="772" t="s">
        <v>604</v>
      </c>
      <c r="C243" s="774"/>
      <c r="D243" s="774" t="str">
        <f>IF(O142=5,C228-6,IF(O142=6,C228-2,"-------"))</f>
        <v>-------</v>
      </c>
      <c r="E243" s="774"/>
      <c r="F243" s="774"/>
      <c r="G243" s="774"/>
      <c r="H243" s="774"/>
      <c r="I243" s="1005"/>
      <c r="J243" s="1005"/>
      <c r="K243" s="1005"/>
      <c r="L243" s="1006"/>
      <c r="M243" s="527"/>
      <c r="N243" s="527"/>
      <c r="O243" s="527"/>
      <c r="P243" s="527"/>
      <c r="Q243" s="677"/>
      <c r="R243" s="635"/>
    </row>
    <row r="244" ht="18">
      <c r="A244" s="1078"/>
      <c r="B244" s="772" t="s">
        <v>605</v>
      </c>
      <c r="C244" s="774"/>
      <c r="D244" s="774">
        <f>C228</f>
        <v>400</v>
      </c>
      <c r="E244" s="774"/>
      <c r="F244" s="774"/>
      <c r="G244" s="774"/>
      <c r="H244" s="774"/>
      <c r="I244" s="774"/>
      <c r="J244" s="774"/>
      <c r="K244" s="774"/>
      <c r="L244" s="775"/>
      <c r="M244" s="527"/>
      <c r="N244" s="527"/>
      <c r="O244" s="527"/>
      <c r="P244" s="527"/>
      <c r="Q244" s="677"/>
      <c r="R244" s="635"/>
    </row>
    <row r="245" ht="18.6">
      <c r="A245" s="1078"/>
      <c r="B245" s="782"/>
      <c r="C245" s="783"/>
      <c r="D245" s="783"/>
      <c r="E245" s="783"/>
      <c r="F245" s="783"/>
      <c r="G245" s="783"/>
      <c r="H245" s="783"/>
      <c r="I245" s="783"/>
      <c r="J245" s="783"/>
      <c r="K245" s="783"/>
      <c r="L245" s="784"/>
      <c r="M245" s="527"/>
      <c r="N245" s="527"/>
      <c r="O245" s="527"/>
      <c r="P245" s="527"/>
      <c r="Q245" s="677"/>
      <c r="R245" s="635"/>
    </row>
    <row r="246">
      <c r="A246" s="1007"/>
      <c r="B246" s="1007"/>
      <c r="C246" s="1007"/>
      <c r="D246" s="1007"/>
      <c r="E246" s="1007"/>
      <c r="F246" s="1007"/>
      <c r="G246" s="1007"/>
      <c r="H246" s="1007"/>
      <c r="I246" s="1007"/>
      <c r="J246" s="1007"/>
      <c r="K246" s="1007"/>
      <c r="L246" s="1007"/>
      <c r="M246" s="1007"/>
      <c r="N246" s="1007"/>
      <c r="O246" s="1007"/>
      <c r="P246" s="1007"/>
      <c r="Q246" s="1007"/>
      <c r="R246" s="635"/>
    </row>
  </sheetData>
  <mergeCells>
    <mergeCell ref="S27:W27"/>
    <mergeCell ref="G2:H2"/>
    <mergeCell ref="G3:H3"/>
    <mergeCell ref="H6:K12"/>
    <mergeCell ref="L6:M10"/>
    <mergeCell ref="V6:W7"/>
    <mergeCell ref="E50:G50"/>
    <mergeCell ref="V58:W59"/>
    <mergeCell ref="V28:W29"/>
    <mergeCell ref="A37:Q37"/>
    <mergeCell ref="A38:A245"/>
    <mergeCell ref="M38:Q45"/>
    <mergeCell ref="S41:W41"/>
    <mergeCell ref="I42:J42"/>
    <mergeCell ref="K42:L42"/>
    <mergeCell ref="V42:W43"/>
    <mergeCell ref="J46:K46"/>
    <mergeCell ref="L46:M46"/>
    <mergeCell ref="S73:W73"/>
    <mergeCell ref="H74:J74"/>
    <mergeCell ref="V74:W75"/>
    <mergeCell ref="J47:K47"/>
    <mergeCell ref="L47:M47"/>
    <mergeCell ref="J48:K48"/>
    <mergeCell ref="L48:M48"/>
    <mergeCell ref="N102:O102"/>
    <mergeCell ref="H67:J67"/>
    <mergeCell ref="H68:J68"/>
    <mergeCell ref="H70:J70"/>
    <mergeCell ref="H73:J73"/>
    <mergeCell ref="H76:J76"/>
    <mergeCell ref="I77:J77"/>
    <mergeCell ref="I78:J78"/>
    <mergeCell ref="S89:W89"/>
    <mergeCell ref="B101:D101"/>
    <mergeCell ref="K103:O103"/>
    <mergeCell ref="C105:G105"/>
    <mergeCell ref="G106:H106"/>
    <mergeCell ref="L106:N106"/>
    <mergeCell ref="G107:J107"/>
    <mergeCell ref="L107:N107"/>
    <mergeCell ref="B122:C122"/>
    <mergeCell ref="G108:J108"/>
    <mergeCell ref="L108:N108"/>
    <mergeCell ref="L109:N109"/>
    <mergeCell ref="L110:N110"/>
    <mergeCell ref="L111:N112"/>
    <mergeCell ref="L113:N113"/>
    <mergeCell ref="C114:D114"/>
    <mergeCell ref="E114:F114"/>
    <mergeCell ref="D119:F119"/>
    <mergeCell ref="B120:D120"/>
    <mergeCell ref="B121:C121"/>
    <mergeCell ref="B157:C157"/>
    <mergeCell ref="J157:K157"/>
    <mergeCell ref="B123:C123"/>
    <mergeCell ref="B124:C124"/>
    <mergeCell ref="D124:E124"/>
    <mergeCell ref="F124:H124"/>
    <mergeCell ref="B125:C125"/>
    <mergeCell ref="K135:N135"/>
    <mergeCell ref="D151:G151"/>
    <mergeCell ref="J151:Q151"/>
    <mergeCell ref="J153:K153"/>
    <mergeCell ref="B155:I155"/>
    <mergeCell ref="J155:Q155"/>
    <mergeCell ref="D216:E216"/>
    <mergeCell ref="I233:L235"/>
    <mergeCell ref="I241:L243"/>
    <mergeCell ref="A246:Q246"/>
    <mergeCell ref="B158:D158"/>
    <mergeCell ref="J158:L158"/>
    <mergeCell ref="B180:C186"/>
    <mergeCell ref="B189:C195"/>
    <mergeCell ref="B198:C204"/>
    <mergeCell ref="D215:E215"/>
  </mergeCells>
  <dataValidations count="1">
    <dataValidation type="list" allowBlank="1" showInputMessage="1" showErrorMessage="1" sqref="B3:F3" xr:uid="{5A64F390-2898-4065-9596-FCAB1366830A}">
      <formula1>$AF$1:$AF$8</formula1>
    </dataValidation>
  </dataValidations>
  <pageMargins left="0.7" right="0.7" top="0.75" bottom="0.75" header="0.3" footer="0.3"/>
  <pageSetup orientation="portrait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4" name="Drop Down 1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1</xdr:col>
                    <xdr:colOff>1771650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5" name="Drop Down 2">
              <controlPr defaultSize="0" autoLine="0" autoPict="0">
                <anchor moveWithCells="1">
                  <from>
                    <xdr:col>0</xdr:col>
                    <xdr:colOff>0</xdr:colOff>
                    <xdr:row>105</xdr:row>
                    <xdr:rowOff>22860</xdr:rowOff>
                  </from>
                  <to>
                    <xdr:col>1</xdr:col>
                    <xdr:colOff>1771650</xdr:colOff>
                    <xdr:row>106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6" name="Drop Down 3">
              <controlPr defaultSize="0" autoLine="0" autoPict="0">
                <anchor moveWithCells="1">
                  <from>
                    <xdr:col>0</xdr:col>
                    <xdr:colOff>0</xdr:colOff>
                    <xdr:row>106</xdr:row>
                    <xdr:rowOff>22860</xdr:rowOff>
                  </from>
                  <to>
                    <xdr:col>1</xdr:col>
                    <xdr:colOff>1771650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7" name="Drop Down 4">
              <controlPr defaultSize="0" autoLine="0" autoPict="0">
                <anchor moveWithCells="1">
                  <from>
                    <xdr:col>0</xdr:col>
                    <xdr:colOff>0</xdr:colOff>
                    <xdr:row>110</xdr:row>
                    <xdr:rowOff>7620</xdr:rowOff>
                  </from>
                  <to>
                    <xdr:col>1</xdr:col>
                    <xdr:colOff>1781175</xdr:colOff>
                    <xdr:row>110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8" name="Drop Down 5">
              <controlPr defaultSize="0" autoLine="0" autoPict="0">
                <anchor moveWithCells="1">
                  <from>
                    <xdr:col>0</xdr:col>
                    <xdr:colOff>0</xdr:colOff>
                    <xdr:row>111</xdr:row>
                    <xdr:rowOff>7620</xdr:rowOff>
                  </from>
                  <to>
                    <xdr:col>1</xdr:col>
                    <xdr:colOff>1781175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0" r:id="rId9" name="Drop Down 6">
              <controlPr defaultSize="0" autoLine="0" autoPict="0">
                <anchor moveWithCells="1">
                  <from>
                    <xdr:col>0</xdr:col>
                    <xdr:colOff>0</xdr:colOff>
                    <xdr:row>114</xdr:row>
                    <xdr:rowOff>22860</xdr:rowOff>
                  </from>
                  <to>
                    <xdr:col>1</xdr:col>
                    <xdr:colOff>1781175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1" r:id="rId10" name="Drop Down 7">
              <controlPr defaultSize="0" autoLine="0" autoPict="0">
                <anchor moveWithCells="1">
                  <from>
                    <xdr:col>0</xdr:col>
                    <xdr:colOff>0</xdr:colOff>
                    <xdr:row>115</xdr:row>
                    <xdr:rowOff>22860</xdr:rowOff>
                  </from>
                  <to>
                    <xdr:col>1</xdr:col>
                    <xdr:colOff>1781175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2" r:id="rId11" name="Drop Down 8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1781175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3" r:id="rId12" name="Drop Down 9">
              <controlPr defaultSize="0" autoLine="0" autoPict="0">
                <anchor moveWithCells="1">
                  <from>
                    <xdr:col>0</xdr:col>
                    <xdr:colOff>0</xdr:colOff>
                    <xdr:row>113</xdr:row>
                    <xdr:rowOff>22860</xdr:rowOff>
                  </from>
                  <to>
                    <xdr:col>1</xdr:col>
                    <xdr:colOff>1781175</xdr:colOff>
                    <xdr:row>114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4" r:id="rId13" name="Drop Down 10">
              <controlPr defaultSize="0" autoLine="0" autoPict="0">
                <anchor moveWithCells="1">
                  <from>
                    <xdr:col>0</xdr:col>
                    <xdr:colOff>0</xdr:colOff>
                    <xdr:row>128</xdr:row>
                    <xdr:rowOff>22860</xdr:rowOff>
                  </from>
                  <to>
                    <xdr:col>1</xdr:col>
                    <xdr:colOff>1771650</xdr:colOff>
                    <xdr:row>129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5" r:id="rId14" name="Drop Down 11">
              <controlPr defaultSize="0" autoLine="0" autoPict="0">
                <anchor moveWithCells="1">
                  <from>
                    <xdr:col>0</xdr:col>
                    <xdr:colOff>0</xdr:colOff>
                    <xdr:row>129</xdr:row>
                    <xdr:rowOff>7620</xdr:rowOff>
                  </from>
                  <to>
                    <xdr:col>1</xdr:col>
                    <xdr:colOff>1771650</xdr:colOff>
                    <xdr:row>129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6" r:id="rId15" name="Drop Down 12">
              <controlPr defaultSize="0" autoLine="0" autoPict="0">
                <anchor moveWithCells="1">
                  <from>
                    <xdr:col>0</xdr:col>
                    <xdr:colOff>0</xdr:colOff>
                    <xdr:row>130</xdr:row>
                    <xdr:rowOff>7620</xdr:rowOff>
                  </from>
                  <to>
                    <xdr:col>1</xdr:col>
                    <xdr:colOff>1771650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7" r:id="rId16" name="Drop Down 13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0</xdr:col>
                    <xdr:colOff>571500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8" r:id="rId17" name="Drop Down 14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666750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9" r:id="rId18" name="Drop Down 15">
              <controlPr defaultSize="0" autoLine="0" autoPict="0">
                <anchor moveWithCells="1">
                  <from>
                    <xdr:col>0</xdr:col>
                    <xdr:colOff>0</xdr:colOff>
                    <xdr:row>117</xdr:row>
                    <xdr:rowOff>22860</xdr:rowOff>
                  </from>
                  <to>
                    <xdr:col>1</xdr:col>
                    <xdr:colOff>666750</xdr:colOff>
                    <xdr:row>118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0" r:id="rId19" name="Drop Down 16">
              <controlPr defaultSize="0" autoLine="0" autoPict="0">
                <anchor moveWithCells="1">
                  <from>
                    <xdr:col>0</xdr:col>
                    <xdr:colOff>0</xdr:colOff>
                    <xdr:row>131</xdr:row>
                    <xdr:rowOff>7620</xdr:rowOff>
                  </from>
                  <to>
                    <xdr:col>1</xdr:col>
                    <xdr:colOff>1771650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1" r:id="rId20" name="Drop Down 17">
              <controlPr defaultSize="0" autoLine="0" autoPict="0">
                <anchor moveWithCells="1">
                  <from>
                    <xdr:col>2</xdr:col>
                    <xdr:colOff>7620</xdr:colOff>
                    <xdr:row>105</xdr:row>
                    <xdr:rowOff>7620</xdr:rowOff>
                  </from>
                  <to>
                    <xdr:col>5</xdr:col>
                    <xdr:colOff>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2" r:id="rId21" name="Drop Down 18">
              <controlPr defaultSize="0" autoLine="0" autoPict="0">
                <anchor moveWithCells="1">
                  <from>
                    <xdr:col>2</xdr:col>
                    <xdr:colOff>7620</xdr:colOff>
                    <xdr:row>106</xdr:row>
                    <xdr:rowOff>22860</xdr:rowOff>
                  </from>
                  <to>
                    <xdr:col>5</xdr:col>
                    <xdr:colOff>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3" r:id="rId22" name="Drop Down 19">
              <controlPr defaultSize="0" autoLine="0" autoPict="0">
                <anchor moveWithCells="1">
                  <from>
                    <xdr:col>2</xdr:col>
                    <xdr:colOff>7620</xdr:colOff>
                    <xdr:row>107</xdr:row>
                    <xdr:rowOff>22860</xdr:rowOff>
                  </from>
                  <to>
                    <xdr:col>5</xdr:col>
                    <xdr:colOff>0</xdr:colOff>
                    <xdr:row>108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4" r:id="rId23" name="Drop Down 20">
              <controlPr defaultSize="0" autoLine="0" autoPict="0">
                <anchor moveWithCells="1">
                  <from>
                    <xdr:col>2</xdr:col>
                    <xdr:colOff>0</xdr:colOff>
                    <xdr:row>111</xdr:row>
                    <xdr:rowOff>7620</xdr:rowOff>
                  </from>
                  <to>
                    <xdr:col>5</xdr:col>
                    <xdr:colOff>0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5" r:id="rId24" name="Drop Down 21">
              <controlPr defaultSize="0" autoLine="0" autoPict="0">
                <anchor moveWithCells="1">
                  <from>
                    <xdr:col>2</xdr:col>
                    <xdr:colOff>0</xdr:colOff>
                    <xdr:row>112</xdr:row>
                    <xdr:rowOff>7620</xdr:rowOff>
                  </from>
                  <to>
                    <xdr:col>5</xdr:col>
                    <xdr:colOff>0</xdr:colOff>
                    <xdr:row>112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6" r:id="rId25" name="Drop Down 22">
              <controlPr defaultSize="0" autoLine="0" autoPict="0">
                <anchor moveWithCells="1">
                  <from>
                    <xdr:col>2</xdr:col>
                    <xdr:colOff>0</xdr:colOff>
                    <xdr:row>115</xdr:row>
                    <xdr:rowOff>22860</xdr:rowOff>
                  </from>
                  <to>
                    <xdr:col>5</xdr:col>
                    <xdr:colOff>0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7" r:id="rId26" name="Drop Down 23">
              <controlPr defaultSize="0" autoLine="0" autoPict="0">
                <anchor moveWithCells="1">
                  <from>
                    <xdr:col>2</xdr:col>
                    <xdr:colOff>0</xdr:colOff>
                    <xdr:row>116</xdr:row>
                    <xdr:rowOff>22860</xdr:rowOff>
                  </from>
                  <to>
                    <xdr:col>5</xdr:col>
                    <xdr:colOff>0</xdr:colOff>
                    <xdr:row>117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8" r:id="rId27" name="Drop Down 24">
              <controlPr defaultSize="0" autoLine="0" autoPict="0">
                <anchor moveWithCells="1">
                  <from>
                    <xdr:col>2</xdr:col>
                    <xdr:colOff>0</xdr:colOff>
                    <xdr:row>117</xdr:row>
                    <xdr:rowOff>7620</xdr:rowOff>
                  </from>
                  <to>
                    <xdr:col>5</xdr:col>
                    <xdr:colOff>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9" r:id="rId28" name="Drop Down 25">
              <controlPr defaultSize="0" autoLine="0" autoPict="0">
                <anchor moveWithCells="1">
                  <from>
                    <xdr:col>2</xdr:col>
                    <xdr:colOff>0</xdr:colOff>
                    <xdr:row>114</xdr:row>
                    <xdr:rowOff>22860</xdr:rowOff>
                  </from>
                  <to>
                    <xdr:col>5</xdr:col>
                    <xdr:colOff>0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0" r:id="rId29" name="Drop Down 26">
              <controlPr defaultSize="0" autoLine="0" autoPict="0">
                <anchor moveWithCells="1">
                  <from>
                    <xdr:col>2</xdr:col>
                    <xdr:colOff>7620</xdr:colOff>
                    <xdr:row>129</xdr:row>
                    <xdr:rowOff>22860</xdr:rowOff>
                  </from>
                  <to>
                    <xdr:col>5</xdr:col>
                    <xdr:colOff>0</xdr:colOff>
                    <xdr:row>130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1" r:id="rId30" name="Drop Down 27">
              <controlPr defaultSize="0" autoLine="0" autoPict="0">
                <anchor moveWithCells="1">
                  <from>
                    <xdr:col>2</xdr:col>
                    <xdr:colOff>7620</xdr:colOff>
                    <xdr:row>130</xdr:row>
                    <xdr:rowOff>7620</xdr:rowOff>
                  </from>
                  <to>
                    <xdr:col>5</xdr:col>
                    <xdr:colOff>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2" r:id="rId31" name="Drop Down 28">
              <controlPr defaultSize="0" autoLine="0" autoPict="0">
                <anchor moveWithCells="1">
                  <from>
                    <xdr:col>2</xdr:col>
                    <xdr:colOff>7620</xdr:colOff>
                    <xdr:row>131</xdr:row>
                    <xdr:rowOff>7620</xdr:rowOff>
                  </from>
                  <to>
                    <xdr:col>5</xdr:col>
                    <xdr:colOff>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3" r:id="rId32" name="Drop Down 29">
              <controlPr defaultSize="0" autoLine="0" autoPict="0">
                <anchor moveWithCells="1">
                  <from>
                    <xdr:col>8</xdr:col>
                    <xdr:colOff>7620</xdr:colOff>
                    <xdr:row>105</xdr:row>
                    <xdr:rowOff>7620</xdr:rowOff>
                  </from>
                  <to>
                    <xdr:col>8</xdr:col>
                    <xdr:colOff>571500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4" r:id="rId33" name="Drop Down 30">
              <controlPr defaultSize="0" autoLine="0" autoPict="0">
                <anchor moveWithCells="1">
                  <from>
                    <xdr:col>6</xdr:col>
                    <xdr:colOff>76200</xdr:colOff>
                    <xdr:row>117</xdr:row>
                    <xdr:rowOff>7620</xdr:rowOff>
                  </from>
                  <to>
                    <xdr:col>7</xdr:col>
                    <xdr:colOff>647700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5" r:id="rId34" name="Drop Down 31">
              <controlPr defaultSize="0" autoLine="0" autoPict="0">
                <anchor moveWithCells="1">
                  <from>
                    <xdr:col>6</xdr:col>
                    <xdr:colOff>76200</xdr:colOff>
                    <xdr:row>118</xdr:row>
                    <xdr:rowOff>22860</xdr:rowOff>
                  </from>
                  <to>
                    <xdr:col>7</xdr:col>
                    <xdr:colOff>647700</xdr:colOff>
                    <xdr:row>119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6" r:id="rId35" name="Drop Down 32">
              <controlPr defaultSize="0" autoLine="0" autoPict="0">
                <anchor moveWithCells="1">
                  <from>
                    <xdr:col>2</xdr:col>
                    <xdr:colOff>7620</xdr:colOff>
                    <xdr:row>132</xdr:row>
                    <xdr:rowOff>7620</xdr:rowOff>
                  </from>
                  <to>
                    <xdr:col>5</xdr:col>
                    <xdr:colOff>0</xdr:colOff>
                    <xdr:row>132</xdr:row>
                    <xdr:rowOff>144780</xdr:rowOff>
                  </to>
                </anchor>
              </controlPr>
            </control>
          </mc:Choice>
        </mc:AlternateContent>
      </controls>
    </mc:Choice>
  </mc:AlternateContent>
  <tableParts count="13"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896" t="s">
        <v>336</v>
      </c>
      <c r="K1" s="896"/>
      <c r="L1" s="896"/>
      <c r="M1" s="896"/>
      <c r="N1" s="896"/>
      <c r="O1" s="896"/>
      <c r="P1" s="896"/>
      <c r="Q1" s="896"/>
      <c r="R1" s="896"/>
      <c r="S1" s="896"/>
    </row>
    <row r="2" ht="18" customHeight="1">
      <c r="A2" s="11" t="s">
        <v>337</v>
      </c>
      <c r="B2" s="885">
        <f>Royal!C3</f>
        <v>0</v>
      </c>
      <c r="C2" s="886"/>
      <c r="D2" s="886"/>
      <c r="E2" s="886"/>
      <c r="F2" s="887"/>
      <c r="G2" s="1">
        <v>2</v>
      </c>
      <c r="J2" s="896"/>
      <c r="K2" s="896"/>
      <c r="L2" s="896"/>
      <c r="M2" s="896"/>
      <c r="N2" s="896"/>
      <c r="O2" s="896"/>
      <c r="P2" s="896"/>
      <c r="Q2" s="896"/>
      <c r="R2" s="896"/>
      <c r="S2" s="896"/>
    </row>
    <row r="3" ht="18" customHeight="1">
      <c r="A3" s="11" t="s">
        <v>338</v>
      </c>
      <c r="F3" s="888" t="s">
        <v>339</v>
      </c>
      <c r="G3" s="888"/>
    </row>
    <row r="4" ht="18" customHeight="1">
      <c r="A4" s="11" t="s">
        <v>340</v>
      </c>
      <c r="F4" s="889" t="s">
        <v>341</v>
      </c>
      <c r="G4" s="890"/>
      <c r="H4" s="890"/>
      <c r="I4" s="891"/>
      <c r="J4" s="10"/>
    </row>
    <row r="5" ht="18" customHeight="1">
      <c r="A5" s="11" t="s">
        <v>342</v>
      </c>
      <c r="F5" s="892" t="s">
        <v>343</v>
      </c>
      <c r="G5" s="893"/>
      <c r="H5" s="893"/>
      <c r="I5" s="894"/>
      <c r="J5" s="10"/>
    </row>
    <row r="6" ht="18" customHeight="1">
      <c r="A6" s="11" t="s">
        <v>344</v>
      </c>
      <c r="Q6" s="895"/>
      <c r="R6" s="895"/>
      <c r="S6" s="895"/>
    </row>
    <row r="7" ht="18" customHeight="1">
      <c r="B7" s="180" t="s">
        <v>125</v>
      </c>
      <c r="C7" s="181">
        <f>تسعير!AA33</f>
        <v>400</v>
      </c>
      <c r="D7" s="182" t="s">
        <v>164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345</v>
      </c>
    </row>
    <row r="10" ht="18" customHeight="1">
      <c r="A10" s="11" t="s">
        <v>346</v>
      </c>
    </row>
    <row r="11" ht="18" customHeight="1">
      <c r="A11" s="11" t="s">
        <v>347</v>
      </c>
      <c r="B11" s="897" t="s">
        <v>348</v>
      </c>
      <c r="C11" s="898"/>
      <c r="D11" s="893" t="s">
        <v>349</v>
      </c>
      <c r="E11" s="894"/>
    </row>
    <row r="12" ht="18" customHeight="1">
      <c r="A12" s="11" t="s">
        <v>350</v>
      </c>
    </row>
    <row r="13" ht="18" customHeight="1">
      <c r="A13" s="11" t="s">
        <v>351</v>
      </c>
    </row>
    <row r="14" ht="18" customHeight="1"/>
    <row r="15" ht="24.6" customHeight="1">
      <c r="A15" s="11" t="s">
        <v>352</v>
      </c>
      <c r="Q15" s="895"/>
      <c r="R15" s="895"/>
      <c r="S15" s="895"/>
    </row>
    <row r="16" ht="18" customHeight="1">
      <c r="C16" s="888" t="s">
        <v>353</v>
      </c>
      <c r="D16" s="888"/>
      <c r="E16" s="888"/>
      <c r="F16" s="1" t="s">
        <v>354</v>
      </c>
    </row>
    <row r="17" ht="18" customHeight="1">
      <c r="A17" s="888" t="s">
        <v>355</v>
      </c>
      <c r="B17" s="888"/>
      <c r="C17" s="888"/>
    </row>
    <row r="18" ht="18" customHeight="1">
      <c r="A18" s="899" t="s">
        <v>356</v>
      </c>
      <c r="B18" s="900"/>
      <c r="C18" s="14">
        <f>'Format Φωτισμου (2)'!B9</f>
        <v>3</v>
      </c>
    </row>
    <row r="19" ht="18" customHeight="1">
      <c r="A19" s="899" t="s">
        <v>357</v>
      </c>
      <c r="B19" s="900"/>
      <c r="C19" s="14">
        <f>'Format Φωτισμου (2)'!B12</f>
        <v>9</v>
      </c>
    </row>
    <row r="20" ht="18" customHeight="1">
      <c r="A20" s="899" t="s">
        <v>358</v>
      </c>
      <c r="B20" s="900"/>
      <c r="C20" s="14">
        <f>C19/C18</f>
        <v>3</v>
      </c>
    </row>
    <row r="21" ht="18" customHeight="1">
      <c r="A21" s="901" t="s">
        <v>359</v>
      </c>
      <c r="B21" s="902"/>
      <c r="C21" s="903">
        <v>20</v>
      </c>
      <c r="D21" s="904"/>
      <c r="E21" s="897" t="s">
        <v>360</v>
      </c>
      <c r="F21" s="898"/>
      <c r="G21" s="898"/>
      <c r="H21" s="14">
        <f>C21/C18</f>
        <v>6.666666666666667</v>
      </c>
      <c r="J21" s="906"/>
      <c r="K21" s="906"/>
      <c r="L21" s="906"/>
      <c r="M21" s="906"/>
      <c r="N21" s="906"/>
      <c r="O21" s="906"/>
      <c r="P21" s="906"/>
      <c r="Q21" s="906"/>
      <c r="R21" s="906"/>
      <c r="S21" s="906"/>
    </row>
    <row r="22" ht="18" customHeight="1">
      <c r="A22" s="899" t="s">
        <v>361</v>
      </c>
      <c r="B22" s="900"/>
      <c r="C22" s="179">
        <v>50</v>
      </c>
      <c r="D22" s="184" t="s">
        <v>362</v>
      </c>
      <c r="J22" s="906"/>
      <c r="K22" s="906"/>
      <c r="L22" s="906"/>
      <c r="M22" s="906"/>
      <c r="N22" s="906"/>
      <c r="O22" s="906"/>
      <c r="P22" s="906"/>
      <c r="Q22" s="906"/>
      <c r="R22" s="906"/>
      <c r="S22" s="906"/>
    </row>
    <row r="23" ht="18" customHeight="1">
      <c r="J23" s="906"/>
      <c r="K23" s="906"/>
      <c r="L23" s="906"/>
      <c r="M23" s="906"/>
      <c r="N23" s="906"/>
      <c r="O23" s="906"/>
      <c r="P23" s="906"/>
      <c r="Q23" s="906"/>
      <c r="R23" s="906"/>
      <c r="S23" s="906"/>
    </row>
    <row r="24" ht="18" customHeight="1"/>
    <row r="25" ht="18" customHeight="1">
      <c r="A25" s="11" t="s">
        <v>363</v>
      </c>
      <c r="J25" s="905"/>
      <c r="K25" s="905"/>
      <c r="L25" s="905"/>
      <c r="M25" s="905"/>
      <c r="N25" s="905"/>
      <c r="O25" s="905"/>
      <c r="P25" s="905"/>
      <c r="Q25" s="905"/>
      <c r="R25" s="15"/>
      <c r="S25" s="10"/>
    </row>
    <row r="26" ht="18" customHeight="1">
      <c r="G26" s="1" t="s">
        <v>364</v>
      </c>
      <c r="H26" s="1" t="s">
        <v>365</v>
      </c>
    </row>
    <row r="27" ht="18" customHeight="1">
      <c r="A27" s="11" t="s">
        <v>366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895"/>
      <c r="K27" s="895"/>
      <c r="L27" s="895"/>
      <c r="M27" s="895"/>
      <c r="N27" s="895"/>
      <c r="O27" s="895"/>
      <c r="P27" s="895"/>
      <c r="Q27" s="895"/>
      <c r="R27" s="895"/>
      <c r="S27" s="895"/>
    </row>
    <row r="28" ht="18" customHeight="1">
      <c r="A28" s="11" t="s">
        <v>367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347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07" t="s">
        <v>607</v>
      </c>
      <c r="B1" s="908"/>
      <c r="C1" s="908"/>
      <c r="D1" s="908"/>
      <c r="E1" s="908"/>
      <c r="F1" s="908"/>
      <c r="G1" s="908"/>
      <c r="H1" s="908"/>
      <c r="I1" s="908"/>
      <c r="J1" s="908"/>
      <c r="K1" s="908"/>
      <c r="L1" s="908"/>
      <c r="M1" s="908"/>
      <c r="N1" s="909"/>
      <c r="O1" s="87"/>
      <c r="P1" s="88"/>
      <c r="Q1" s="88"/>
      <c r="R1" s="88"/>
      <c r="W1" s="136">
        <f>IF(تسعير!T26="سادة",Royal2!J2+20000,IF(تسعير!T26="خشبي",Royal2!J2+40000,0))</f>
        <v>292000</v>
      </c>
      <c r="X1" s="60" t="s">
        <v>369</v>
      </c>
      <c r="Y1" s="136" t="e">
        <f>Royal!#REF!</f>
        <v>#REF!</v>
      </c>
      <c r="Z1" s="151" t="s">
        <v>370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923" t="s">
        <v>337</v>
      </c>
      <c r="B3" s="923"/>
      <c r="C3" s="923"/>
      <c r="D3" s="925">
        <f>تسجيل1!B2</f>
        <v>0</v>
      </c>
      <c r="E3" s="925"/>
      <c r="F3" s="925"/>
      <c r="G3" s="925"/>
      <c r="H3" s="925"/>
      <c r="I3" s="925"/>
      <c r="J3" s="925"/>
      <c r="K3" s="925"/>
      <c r="L3" s="925"/>
      <c r="M3" s="910" t="s">
        <v>371</v>
      </c>
      <c r="N3" s="910"/>
      <c r="O3" s="89"/>
      <c r="P3" s="90"/>
      <c r="Q3" s="90"/>
      <c r="R3" s="90"/>
      <c r="Z3" s="151"/>
      <c r="AA3" s="60"/>
      <c r="AB3" s="60"/>
    </row>
    <row r="4" ht="13.5" customHeight="1">
      <c r="A4" s="924"/>
      <c r="B4" s="924"/>
      <c r="C4" s="924"/>
      <c r="D4" s="926"/>
      <c r="E4" s="926"/>
      <c r="F4" s="926"/>
      <c r="G4" s="925"/>
      <c r="H4" s="925"/>
      <c r="I4" s="926"/>
      <c r="J4" s="926"/>
      <c r="K4" s="926"/>
      <c r="L4" s="926"/>
      <c r="M4" s="911"/>
      <c r="N4" s="911"/>
      <c r="O4" s="91"/>
      <c r="P4" s="92"/>
      <c r="Q4" s="92"/>
      <c r="R4" s="92"/>
      <c r="Z4" s="151"/>
      <c r="AA4" s="60"/>
      <c r="AB4" s="60"/>
    </row>
    <row r="5" ht="13.5" customHeight="1">
      <c r="A5" s="912" t="e">
        <f>Y1</f>
        <v>#REF!</v>
      </c>
      <c r="B5" s="913"/>
      <c r="C5" s="914"/>
      <c r="D5" s="915" t="s">
        <v>370</v>
      </c>
      <c r="E5" s="916"/>
      <c r="F5" s="917"/>
      <c r="G5" s="63"/>
      <c r="H5" s="63"/>
      <c r="I5" s="912">
        <f>W1</f>
        <v>292000</v>
      </c>
      <c r="J5" s="913"/>
      <c r="K5" s="914"/>
      <c r="L5" s="915" t="s">
        <v>372</v>
      </c>
      <c r="M5" s="916"/>
      <c r="N5" s="917"/>
      <c r="O5" s="93"/>
      <c r="P5" s="92"/>
      <c r="Q5" s="92"/>
      <c r="R5" s="92"/>
      <c r="Z5" s="151"/>
      <c r="AA5" s="60"/>
      <c r="AB5" s="60"/>
    </row>
    <row r="6" ht="16.5" customHeight="1">
      <c r="A6" s="992" t="s">
        <v>373</v>
      </c>
      <c r="B6" s="993"/>
      <c r="C6" s="994"/>
      <c r="D6" s="986" t="s">
        <v>374</v>
      </c>
      <c r="E6" s="918" t="s">
        <v>344</v>
      </c>
      <c r="F6" s="919"/>
      <c r="G6" s="920"/>
      <c r="H6" s="920"/>
      <c r="I6" s="919"/>
      <c r="J6" s="921"/>
      <c r="K6" s="922">
        <f>تسجيل2!C7</f>
        <v>400</v>
      </c>
      <c r="L6" s="922"/>
      <c r="M6" s="94" t="s">
        <v>375</v>
      </c>
      <c r="N6" s="95">
        <f>تسجيل2!E7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92"/>
      <c r="B7" s="993"/>
      <c r="C7" s="994"/>
      <c r="D7" s="986"/>
      <c r="E7" s="927" t="s">
        <v>376</v>
      </c>
      <c r="F7" s="920"/>
      <c r="G7" s="920"/>
      <c r="H7" s="920"/>
      <c r="I7" s="920"/>
      <c r="J7" s="928"/>
      <c r="K7" s="929">
        <f>K6*N6/10000</f>
        <v>16</v>
      </c>
      <c r="L7" s="929"/>
      <c r="M7" s="929"/>
      <c r="N7" s="98" t="s">
        <v>377</v>
      </c>
      <c r="O7" s="99">
        <f>AA41/K7</f>
        <v>2907.2003302590206</v>
      </c>
      <c r="S7" s="60" t="s">
        <v>127</v>
      </c>
      <c r="T7" s="61" t="s">
        <v>378</v>
      </c>
      <c r="Z7" s="151"/>
      <c r="AA7" s="60"/>
      <c r="AB7" s="60"/>
    </row>
    <row r="8">
      <c r="A8" s="995"/>
      <c r="B8" s="996"/>
      <c r="C8" s="997"/>
      <c r="D8" s="987"/>
      <c r="E8" s="930" t="s">
        <v>379</v>
      </c>
      <c r="F8" s="931"/>
      <c r="G8" s="931"/>
      <c r="H8" s="931"/>
      <c r="I8" s="931"/>
      <c r="J8" s="932"/>
      <c r="K8" s="933">
        <f>K6-1</f>
        <v>399</v>
      </c>
      <c r="L8" s="933"/>
      <c r="M8" s="100" t="s">
        <v>380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46515.205284144329</v>
      </c>
      <c r="P8" s="103"/>
      <c r="Q8" s="103"/>
      <c r="R8" s="103"/>
      <c r="S8" s="103">
        <f>IF((تسعير!U31=Sheet2!A6),Sheet2!B16,Sheet2!B58)</f>
        <v>200</v>
      </c>
      <c r="T8" s="137">
        <f>((K8*N8)/10000)*1.2</f>
        <v>17.81136</v>
      </c>
      <c r="U8" s="138">
        <f>T8*S8</f>
        <v>3562.272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34" t="s">
        <v>381</v>
      </c>
      <c r="B10" s="934"/>
      <c r="C10" s="934"/>
      <c r="D10" s="934"/>
      <c r="E10" s="934"/>
      <c r="F10" s="934"/>
      <c r="G10" s="935" t="s">
        <v>324</v>
      </c>
      <c r="H10" s="935"/>
      <c r="I10" s="935" t="s">
        <v>382</v>
      </c>
      <c r="J10" s="935"/>
      <c r="K10" s="104"/>
      <c r="L10" s="936" t="s">
        <v>366</v>
      </c>
      <c r="M10" s="936"/>
      <c r="N10" s="936"/>
      <c r="O10" s="105"/>
      <c r="P10" s="97"/>
      <c r="Q10" s="97"/>
      <c r="R10" s="97"/>
      <c r="S10" s="90" t="s">
        <v>383</v>
      </c>
      <c r="T10" s="90" t="s">
        <v>384</v>
      </c>
      <c r="U10" s="90" t="s">
        <v>385</v>
      </c>
      <c r="V10" s="90" t="s">
        <v>386</v>
      </c>
      <c r="W10" s="60" t="s">
        <v>387</v>
      </c>
      <c r="X10" s="60" t="s">
        <v>388</v>
      </c>
      <c r="Z10" s="151"/>
      <c r="AA10" s="60"/>
      <c r="AB10" s="60"/>
    </row>
    <row r="11" ht="20.1" customHeight="1">
      <c r="A11" s="937" t="s">
        <v>389</v>
      </c>
      <c r="B11" s="938"/>
      <c r="C11" s="938"/>
      <c r="D11" s="938"/>
      <c r="E11" s="938"/>
      <c r="F11" s="939"/>
      <c r="G11" s="940">
        <f>L11</f>
        <v>2</v>
      </c>
      <c r="H11" s="940"/>
      <c r="I11" s="941">
        <f>'Format διαστασης οδηγου (2)'!F8</f>
        <v>365</v>
      </c>
      <c r="J11" s="941"/>
      <c r="K11" s="106"/>
      <c r="L11" s="936">
        <f>IF((تسعير!U31=Sheet2!A6),2,IF(Format!A7=1,تسجيل2!H27,IF(Format!A7=2,تسجيل2!H27,IF(Format!A7=3,تسجيل2!H27,IF(Format!A7=4,تسجيل2!H27,IF(Format!A7=5,تسجيل2!H27,"-------"))))))</f>
        <v>2</v>
      </c>
      <c r="M11" s="936"/>
      <c r="N11" s="936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9759.2467532467635</v>
      </c>
      <c r="Z11" s="151"/>
      <c r="AA11" s="60"/>
      <c r="AB11" s="60"/>
    </row>
    <row r="12" ht="20.1" customHeight="1">
      <c r="A12" s="943" t="s">
        <v>390</v>
      </c>
      <c r="B12" s="943"/>
      <c r="C12" s="943"/>
      <c r="D12" s="943"/>
      <c r="E12" s="943"/>
      <c r="F12" s="943"/>
      <c r="G12" s="944">
        <f>IF(L11&gt;2,4,IF(L11=2,2))</f>
        <v>2</v>
      </c>
      <c r="H12" s="944"/>
      <c r="I12" s="945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45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IF((تسعير!$U$31=Sheet2!$A$6),ROUND(I12/100,0),MAX(P12:R12))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4353.8073089700938</v>
      </c>
      <c r="Z12" s="151"/>
      <c r="AA12" s="60"/>
      <c r="AB12" s="60"/>
    </row>
    <row r="13" ht="20.1" customHeight="1">
      <c r="A13" s="943" t="s">
        <v>391</v>
      </c>
      <c r="B13" s="943"/>
      <c r="C13" s="943"/>
      <c r="D13" s="943"/>
      <c r="E13" s="943"/>
      <c r="F13" s="943"/>
      <c r="G13" s="944" t="str">
        <f>IF(L11&lt;=3,"0",(L11-3)*2)</f>
        <v>0</v>
      </c>
      <c r="H13" s="944"/>
      <c r="I13" s="945">
        <f>IF(G13="-------","-------",L17-5)</f>
        <v>386</v>
      </c>
      <c r="J13" s="945"/>
      <c r="K13" s="106"/>
      <c r="L13" s="946" t="s">
        <v>392</v>
      </c>
      <c r="M13" s="946"/>
      <c r="N13" s="946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IF((تسعير!$U$31=Sheet2!$A$6),ROUND(I13/100,0),MAX(P13:R13))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943" t="s">
        <v>393</v>
      </c>
      <c r="B14" s="943"/>
      <c r="C14" s="943"/>
      <c r="D14" s="943"/>
      <c r="E14" s="943"/>
      <c r="F14" s="943"/>
      <c r="G14" s="944">
        <f>IF(L11&gt;2,2*L14,IF(L11=2,L14))</f>
        <v>5</v>
      </c>
      <c r="H14" s="944"/>
      <c r="I14" s="945">
        <f>I12</f>
        <v>399</v>
      </c>
      <c r="J14" s="945"/>
      <c r="K14" s="106"/>
      <c r="L14" s="109">
        <f>تسجيل2!H28</f>
        <v>5</v>
      </c>
      <c r="M14" s="110" t="s">
        <v>394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IF((تسعير!$U$31=Sheet2!$A$6),ROUND(I14/100,0),MAX(P14:R14))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6142.0689655172155</v>
      </c>
      <c r="Z14" s="151"/>
      <c r="AA14" s="60"/>
      <c r="AB14" s="60"/>
    </row>
    <row r="15" ht="20.1" customHeight="1">
      <c r="A15" s="943" t="s">
        <v>395</v>
      </c>
      <c r="B15" s="943"/>
      <c r="C15" s="943"/>
      <c r="D15" s="943"/>
      <c r="E15" s="943"/>
      <c r="F15" s="943"/>
      <c r="G15" s="944" t="str">
        <f>IF(L11&lt;=3,"0",(L11-3)*L14)</f>
        <v>0</v>
      </c>
      <c r="H15" s="944"/>
      <c r="I15" s="945">
        <f>IF(G15="-------","---------",I13)</f>
        <v>386</v>
      </c>
      <c r="J15" s="945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IF((تسعير!$U$31=Sheet2!$A$6),ROUND(I15/100,0),MAX(P15:R15))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943" t="s">
        <v>396</v>
      </c>
      <c r="B16" s="943"/>
      <c r="C16" s="943"/>
      <c r="D16" s="943"/>
      <c r="E16" s="943"/>
      <c r="F16" s="943"/>
      <c r="G16" s="944">
        <v>1</v>
      </c>
      <c r="H16" s="944"/>
      <c r="I16" s="945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45"/>
      <c r="K16" s="106"/>
      <c r="L16" s="947" t="s">
        <v>397</v>
      </c>
      <c r="M16" s="947"/>
      <c r="N16" s="947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IF((تسعير!$U$31=Sheet2!$A$6),ROUND(I16/100,0),MAX(P16:R16))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1629.2102564102622</v>
      </c>
      <c r="Z16" s="151"/>
      <c r="AA16" s="60"/>
      <c r="AB16" s="60"/>
    </row>
    <row r="17" ht="20.1" customHeight="1">
      <c r="A17" s="943" t="s">
        <v>398</v>
      </c>
      <c r="B17" s="943"/>
      <c r="C17" s="943"/>
      <c r="D17" s="943"/>
      <c r="E17" s="943"/>
      <c r="F17" s="943"/>
      <c r="G17" s="944" t="str">
        <f>IF(L11=2,"0",1)</f>
        <v>0</v>
      </c>
      <c r="H17" s="944"/>
      <c r="I17" s="945">
        <f>IF(G17="-------","-------",IF(Format!A7=1,(L17+3),IF(Format!A7=2,(L17+3.5),IF(Format!A7=3,(L17+3),IF(Format!A7=4,(L17+4.25),IF(Format!A7=5,(L17+5),"--------"))))))</f>
        <v>394.5</v>
      </c>
      <c r="J17" s="945"/>
      <c r="K17" s="106"/>
      <c r="L17" s="948">
        <f>IF(Format!A7=1,(K6-2-6)/(L11-1),IF(Format!A7=2,(K6-2-7)/(L11-1),IF(Format!A7=3,(K6-2-6)/(L11-1),IF(Format!A7=4,(K6-2-8.5)/(L11-1),IF(Format!A7=5,(K6-2-10)/(L11-1),"--------")))))</f>
        <v>391</v>
      </c>
      <c r="M17" s="948"/>
      <c r="N17" s="948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IF((تسعير!$U$31=Sheet2!$A$6),ROUND(I17/100,0),MAX(P17:R17))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943" t="s">
        <v>399</v>
      </c>
      <c r="B18" s="943"/>
      <c r="C18" s="943"/>
      <c r="D18" s="943"/>
      <c r="E18" s="943"/>
      <c r="F18" s="943"/>
      <c r="G18" s="944" t="str">
        <f>IF(L11&lt;=3,"0",(L11-3))</f>
        <v>0</v>
      </c>
      <c r="H18" s="944"/>
      <c r="I18" s="945">
        <f>IF(G18="-------","-------",L17)</f>
        <v>391</v>
      </c>
      <c r="J18" s="945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IF((تسعير!$U$31=Sheet2!$A$6),ROUND(I18/100,0),MAX(P18:R18))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943" t="str">
        <f>IF(Format!H4=1,"Balloon","-------")</f>
        <v>-------</v>
      </c>
      <c r="B19" s="943"/>
      <c r="C19" s="943"/>
      <c r="D19" s="943"/>
      <c r="E19" s="943"/>
      <c r="F19" s="943"/>
      <c r="G19" s="944" t="str">
        <f>IF([1]Format!H4=1,'[1]تقطيع البرجولة'!L14,"0")</f>
        <v>0</v>
      </c>
      <c r="H19" s="944"/>
      <c r="I19" s="945">
        <f>IF(G19="-------","-------",K6-2.5)</f>
        <v>397.5</v>
      </c>
      <c r="J19" s="945"/>
      <c r="K19" s="106"/>
      <c r="L19" s="949" t="s">
        <v>347</v>
      </c>
      <c r="M19" s="950"/>
      <c r="N19" s="95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IF((تسعير!$U$31=Sheet2!$A$6),ROUND(I19/100,0),MAX(P19:R19))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952" t="s">
        <v>400</v>
      </c>
      <c r="B20" s="953"/>
      <c r="C20" s="953"/>
      <c r="D20" s="953"/>
      <c r="E20" s="953"/>
      <c r="F20" s="954"/>
      <c r="G20" s="952">
        <f>(G12+G13)/2</f>
        <v>1</v>
      </c>
      <c r="H20" s="953"/>
      <c r="I20" s="945">
        <f>L17-7</f>
        <v>384</v>
      </c>
      <c r="J20" s="945"/>
      <c r="K20" s="106"/>
      <c r="L20" s="114" t="s">
        <v>324</v>
      </c>
      <c r="M20" s="955" t="s">
        <v>401</v>
      </c>
      <c r="N20" s="95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IF((تسعير!$U$31=Sheet2!$A$6),ROUND(I20/100,0),MAX(P20:R20))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1927.1999999999998</v>
      </c>
      <c r="Z20" s="151"/>
      <c r="AA20" s="60"/>
      <c r="AB20" s="60"/>
    </row>
    <row r="21" ht="20.1" customHeight="1">
      <c r="A21" s="956" t="s">
        <v>402</v>
      </c>
      <c r="B21" s="956"/>
      <c r="C21" s="956"/>
      <c r="D21" s="956"/>
      <c r="E21" s="956"/>
      <c r="F21" s="956"/>
      <c r="G21" s="957">
        <f>L11</f>
        <v>2</v>
      </c>
      <c r="H21" s="957"/>
      <c r="I21" s="958">
        <f>(I11*2)+45</f>
        <v>775</v>
      </c>
      <c r="J21" s="958"/>
      <c r="K21" s="106"/>
      <c r="L21" s="112">
        <f>IF(Format!E7=1,"-------",IF(Format!E7=5,"-------",تسجيل2!H30))</f>
        <v>2</v>
      </c>
      <c r="M21" s="947" t="str">
        <f>IF(L21="-------","-------",تسجيل2!D11)</f>
        <v>4Χ220- 1Χ250</v>
      </c>
      <c r="N21" s="947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24596.833284144333</v>
      </c>
      <c r="Z22" s="151"/>
      <c r="AA22" s="60"/>
      <c r="AB22" s="60"/>
    </row>
    <row r="23" ht="20.1" customHeight="1">
      <c r="A23" s="959" t="s">
        <v>403</v>
      </c>
      <c r="B23" s="960"/>
      <c r="C23" s="960"/>
      <c r="D23" s="960"/>
      <c r="E23" s="961"/>
      <c r="F23" s="67" t="s">
        <v>404</v>
      </c>
      <c r="G23" s="68"/>
      <c r="H23" s="959" t="s">
        <v>405</v>
      </c>
      <c r="I23" s="960"/>
      <c r="J23" s="960"/>
      <c r="K23" s="960"/>
      <c r="L23" s="961"/>
      <c r="M23" s="67" t="s">
        <v>324</v>
      </c>
      <c r="N23" s="119"/>
      <c r="O23" s="119"/>
      <c r="P23" s="120"/>
      <c r="Q23" s="120"/>
      <c r="R23" s="120"/>
      <c r="S23" s="146"/>
      <c r="T23" s="147" t="s">
        <v>406</v>
      </c>
      <c r="U23" s="146" t="s">
        <v>407</v>
      </c>
      <c r="V23" s="146" t="s">
        <v>408</v>
      </c>
      <c r="W23" s="146" t="s">
        <v>409</v>
      </c>
      <c r="X23" s="146" t="s">
        <v>407</v>
      </c>
      <c r="Y23" s="146" t="s">
        <v>408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2" t="s">
        <v>410</v>
      </c>
      <c r="C24" s="962"/>
      <c r="D24" s="962"/>
      <c r="E24" s="962"/>
      <c r="F24" s="70">
        <f>L11</f>
        <v>2</v>
      </c>
      <c r="G24" s="71"/>
      <c r="H24" s="69">
        <v>16</v>
      </c>
      <c r="I24" s="962" t="s">
        <v>352</v>
      </c>
      <c r="J24" s="962"/>
      <c r="K24" s="962"/>
      <c r="L24" s="962"/>
      <c r="M24" s="70">
        <f>IF((تسعير!U31=Sheet2!A6),1,IF(K7&lt;=65,1,2))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IF((تسعير!U31=Sheet2!A6),Sheet2!B57,IF((N6&lt;600),Sheet2!B33,IF(N6&gt;=600,Sheet2!B55,0)))</f>
        <v>8000</v>
      </c>
      <c r="Z24" s="151"/>
      <c r="AA24" s="60">
        <f>V24*F24</f>
        <v>260</v>
      </c>
      <c r="AB24" s="60">
        <f ref="AB24:AB38" t="shared" si="9">Y24*M24</f>
        <v>8000</v>
      </c>
    </row>
    <row r="25" ht="20.1" customHeight="1">
      <c r="A25" s="72">
        <v>2</v>
      </c>
      <c r="B25" s="963" t="s">
        <v>411</v>
      </c>
      <c r="C25" s="963"/>
      <c r="D25" s="963"/>
      <c r="E25" s="963"/>
      <c r="F25" s="73">
        <f>L11</f>
        <v>2</v>
      </c>
      <c r="G25" s="71"/>
      <c r="H25" s="72">
        <v>17</v>
      </c>
      <c r="I25" s="963" t="s">
        <v>412</v>
      </c>
      <c r="J25" s="963"/>
      <c r="K25" s="963"/>
      <c r="L25" s="96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963" t="s">
        <v>413</v>
      </c>
      <c r="C26" s="963"/>
      <c r="D26" s="963"/>
      <c r="E26" s="963"/>
      <c r="F26" s="73">
        <f>M24</f>
        <v>1</v>
      </c>
      <c r="G26" s="71"/>
      <c r="H26" s="72">
        <v>18</v>
      </c>
      <c r="I26" s="963" t="s">
        <v>414</v>
      </c>
      <c r="J26" s="963"/>
      <c r="K26" s="963"/>
      <c r="L26" s="96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964" t="s">
        <v>415</v>
      </c>
      <c r="C27" s="965"/>
      <c r="D27" s="965"/>
      <c r="E27" s="966"/>
      <c r="F27" s="73">
        <v>4</v>
      </c>
      <c r="G27" s="71"/>
      <c r="H27" s="72">
        <v>19</v>
      </c>
      <c r="I27" s="963" t="s">
        <v>416</v>
      </c>
      <c r="J27" s="963"/>
      <c r="K27" s="963"/>
      <c r="L27" s="96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964" t="s">
        <v>417</v>
      </c>
      <c r="C28" s="965"/>
      <c r="D28" s="965"/>
      <c r="E28" s="966"/>
      <c r="F28" s="73">
        <f>L14</f>
        <v>5</v>
      </c>
      <c r="G28" s="71"/>
      <c r="H28" s="72">
        <v>20</v>
      </c>
      <c r="I28" s="963" t="s">
        <v>418</v>
      </c>
      <c r="J28" s="963"/>
      <c r="K28" s="963"/>
      <c r="L28" s="96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964" t="s">
        <v>419</v>
      </c>
      <c r="C29" s="965"/>
      <c r="D29" s="965"/>
      <c r="E29" s="966"/>
      <c r="F29" s="73">
        <f>L11*2</f>
        <v>4</v>
      </c>
      <c r="G29" s="71"/>
      <c r="H29" s="72">
        <v>21</v>
      </c>
      <c r="I29" s="963" t="s">
        <v>420</v>
      </c>
      <c r="J29" s="963"/>
      <c r="K29" s="963"/>
      <c r="L29" s="96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964" t="s">
        <v>421</v>
      </c>
      <c r="C30" s="965"/>
      <c r="D30" s="965"/>
      <c r="E30" s="966"/>
      <c r="F30" s="73">
        <f>L14*L11</f>
        <v>10</v>
      </c>
      <c r="G30" s="71"/>
      <c r="H30" s="72">
        <v>22</v>
      </c>
      <c r="I30" s="963" t="s">
        <v>422</v>
      </c>
      <c r="J30" s="963"/>
      <c r="K30" s="963"/>
      <c r="L30" s="96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964" t="s">
        <v>423</v>
      </c>
      <c r="C31" s="965"/>
      <c r="D31" s="965"/>
      <c r="E31" s="966"/>
      <c r="F31" s="73">
        <f>(L14+N14)*2</f>
        <v>14</v>
      </c>
      <c r="G31" s="71"/>
      <c r="H31" s="72">
        <v>23</v>
      </c>
      <c r="I31" s="963" t="s">
        <v>424</v>
      </c>
      <c r="J31" s="963"/>
      <c r="K31" s="963"/>
      <c r="L31" s="96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964" t="s">
        <v>425</v>
      </c>
      <c r="C32" s="965"/>
      <c r="D32" s="965"/>
      <c r="E32" s="966"/>
      <c r="F32" s="73">
        <f>(L14+N14)*2</f>
        <v>14</v>
      </c>
      <c r="G32" s="71"/>
      <c r="H32" s="72">
        <v>24</v>
      </c>
      <c r="I32" s="963" t="s">
        <v>426</v>
      </c>
      <c r="J32" s="963"/>
      <c r="K32" s="963"/>
      <c r="L32" s="96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964" t="s">
        <v>427</v>
      </c>
      <c r="C33" s="965"/>
      <c r="D33" s="965"/>
      <c r="E33" s="966"/>
      <c r="F33" s="73">
        <f>L11*3</f>
        <v>6</v>
      </c>
      <c r="G33" s="71"/>
      <c r="H33" s="72">
        <v>25</v>
      </c>
      <c r="I33" s="963" t="s">
        <v>428</v>
      </c>
      <c r="J33" s="963"/>
      <c r="K33" s="963"/>
      <c r="L33" s="96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964" t="s">
        <v>429</v>
      </c>
      <c r="C34" s="965"/>
      <c r="D34" s="965"/>
      <c r="E34" s="966"/>
      <c r="F34" s="73">
        <f>L11*3</f>
        <v>6</v>
      </c>
      <c r="G34" s="71"/>
      <c r="H34" s="72">
        <v>26</v>
      </c>
      <c r="I34" s="963" t="s">
        <v>430</v>
      </c>
      <c r="J34" s="963"/>
      <c r="K34" s="963"/>
      <c r="L34" s="96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964" t="s">
        <v>431</v>
      </c>
      <c r="C35" s="965"/>
      <c r="D35" s="965"/>
      <c r="E35" s="966"/>
      <c r="F35" s="73" t="str">
        <f>IF(L11&gt;2,(L11-2)*2,"0")</f>
        <v>0</v>
      </c>
      <c r="G35" s="74"/>
      <c r="H35" s="72">
        <v>27</v>
      </c>
      <c r="I35" s="963" t="s">
        <v>432</v>
      </c>
      <c r="J35" s="963"/>
      <c r="K35" s="963"/>
      <c r="L35" s="96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964" t="s">
        <v>433</v>
      </c>
      <c r="C36" s="965"/>
      <c r="D36" s="965"/>
      <c r="E36" s="966"/>
      <c r="F36" s="73" t="str">
        <f>IF(L11&gt;2,(L11-2)*L14,"0")</f>
        <v>0</v>
      </c>
      <c r="G36" s="74"/>
      <c r="H36" s="72">
        <v>28</v>
      </c>
      <c r="I36" s="963" t="s">
        <v>434</v>
      </c>
      <c r="J36" s="963"/>
      <c r="K36" s="963"/>
      <c r="L36" s="963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964" t="s">
        <v>435</v>
      </c>
      <c r="C37" s="965"/>
      <c r="D37" s="965"/>
      <c r="E37" s="966"/>
      <c r="F37" s="73">
        <f>M24</f>
        <v>1</v>
      </c>
      <c r="G37" s="74"/>
      <c r="H37" s="72">
        <v>29</v>
      </c>
      <c r="I37" s="963" t="s">
        <v>436</v>
      </c>
      <c r="J37" s="963"/>
      <c r="K37" s="963"/>
      <c r="L37" s="96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963" t="s">
        <v>437</v>
      </c>
      <c r="C38" s="963"/>
      <c r="D38" s="963"/>
      <c r="E38" s="963"/>
      <c r="F38" s="73">
        <f>تسجيل1!C21</f>
        <v>20</v>
      </c>
      <c r="G38" s="74"/>
      <c r="H38" s="72">
        <v>30</v>
      </c>
      <c r="I38" s="963" t="s">
        <v>438</v>
      </c>
      <c r="J38" s="963"/>
      <c r="K38" s="963"/>
      <c r="L38" s="963"/>
      <c r="M38" s="73">
        <f>IF((تسعير!U31=Sheet2!A6),0,(I11*4)/100)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51.1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88">
        <f>SUM(AA24:AB38)</f>
        <v>18356.1</v>
      </c>
      <c r="AB39" s="988"/>
    </row>
    <row r="40" ht="20.4" customHeight="1" s="58" customFormat="1">
      <c r="A40" s="998" t="s">
        <v>439</v>
      </c>
      <c r="B40" s="999"/>
      <c r="C40" s="999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88"/>
      <c r="AB40" s="988"/>
    </row>
    <row r="41" ht="18.75" customHeight="1" s="58" customFormat="1">
      <c r="A41" s="989" t="str">
        <f>IF(Format!I5=1,"-------",IF(Format!I5=2,Format!I3,Format!I4))</f>
        <v>صونفي </v>
      </c>
      <c r="B41" s="990"/>
      <c r="C41" s="991"/>
      <c r="D41" s="81"/>
      <c r="E41" s="81"/>
      <c r="F41" s="76"/>
      <c r="G41" s="68"/>
      <c r="H41" s="75"/>
      <c r="I41" s="81"/>
      <c r="J41" s="81"/>
      <c r="K41" s="81"/>
      <c r="L41" s="1000" t="s">
        <v>340</v>
      </c>
      <c r="M41" s="1001"/>
      <c r="N41" s="1002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1003">
        <f>AA39+X22+U8</f>
        <v>46515.205284144329</v>
      </c>
      <c r="AB41" s="1003"/>
    </row>
    <row r="42" ht="13.95" customHeight="1" s="58" customFormat="1">
      <c r="A42" s="989"/>
      <c r="B42" s="990"/>
      <c r="C42" s="991"/>
      <c r="D42" s="10"/>
      <c r="E42" s="10"/>
      <c r="F42" s="10"/>
      <c r="G42" s="10"/>
      <c r="H42" s="10"/>
      <c r="I42" s="10"/>
      <c r="J42" s="10"/>
      <c r="K42" s="10"/>
      <c r="L42" s="967" t="str">
        <f>IF(Format!B5=1,Format!B2,IF(Format!B5=2,Format!B3,تسجيل1!F4))</f>
        <v>بيج  Ral 1013</v>
      </c>
      <c r="M42" s="968"/>
      <c r="N42" s="96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70" t="str">
        <f>IF(Format!P5=1,"Τηλεχειρισμος",IF(Format!P5=2,"-------","Διακοπτης"))</f>
        <v>Τηλεχειρισμος</v>
      </c>
      <c r="B43" s="971"/>
      <c r="C43" s="972"/>
      <c r="D43" s="10"/>
      <c r="E43" s="10"/>
      <c r="F43" s="10"/>
      <c r="G43" s="10"/>
      <c r="H43" s="10"/>
      <c r="I43" s="10"/>
      <c r="J43" s="10"/>
      <c r="K43" s="10"/>
      <c r="L43" s="973" t="s">
        <v>342</v>
      </c>
      <c r="M43" s="974"/>
      <c r="N43" s="97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76" t="str">
        <f>IF(Format!C8=1,Format!C2,IF(Format!C8=2,Format!C3,IF(Format!C8=3,Format!C4,IF(Format!C8=4,Format!C5,IF(Format!C8=5,Format!C6,تسجيل1!F5)))))</f>
        <v>بيج  Ral 1013</v>
      </c>
      <c r="M44" s="977"/>
      <c r="N44" s="97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79" t="str">
        <f>A3</f>
        <v>اسم العميل </v>
      </c>
      <c r="B96" s="980"/>
      <c r="C96" s="98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81">
        <f>N8</f>
        <v>372</v>
      </c>
      <c r="N97" s="98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83" t="str">
        <f>L44</f>
        <v>بيج  Ral 1013</v>
      </c>
      <c r="K98" s="984"/>
      <c r="L98" s="984"/>
      <c r="M98" s="984"/>
      <c r="N98" s="98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373</v>
      </c>
      <c r="B1" s="20" t="s">
        <v>340</v>
      </c>
      <c r="C1" s="20" t="s">
        <v>342</v>
      </c>
      <c r="D1" s="20" t="s">
        <v>345</v>
      </c>
      <c r="E1" s="20" t="s">
        <v>346</v>
      </c>
      <c r="F1" s="20" t="s">
        <v>350</v>
      </c>
      <c r="G1" s="20" t="s">
        <v>355</v>
      </c>
      <c r="H1" s="20" t="s">
        <v>518</v>
      </c>
      <c r="I1" s="20" t="s">
        <v>352</v>
      </c>
      <c r="J1" s="1094" t="s">
        <v>519</v>
      </c>
      <c r="K1" s="1095"/>
      <c r="L1" s="1095"/>
      <c r="M1" s="1096"/>
      <c r="N1" s="20" t="s">
        <v>520</v>
      </c>
      <c r="O1" s="20" t="s">
        <v>352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366</v>
      </c>
      <c r="K2" s="1" t="s">
        <v>367</v>
      </c>
      <c r="L2" s="1" t="s">
        <v>527</v>
      </c>
      <c r="M2" s="18" t="s">
        <v>347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1097" t="s">
        <v>555</v>
      </c>
      <c r="D17" s="1098"/>
      <c r="E17" s="1098"/>
      <c r="F17" s="1099"/>
      <c r="G17" s="1"/>
      <c r="H17" s="1"/>
      <c r="I17" s="1"/>
    </row>
    <row r="18">
      <c r="A18" s="26" t="s">
        <v>557</v>
      </c>
      <c r="B18" s="27">
        <f>تسجيل2!C7</f>
        <v>400</v>
      </c>
      <c r="C18" s="28" t="s">
        <v>558</v>
      </c>
      <c r="D18" s="28"/>
      <c r="E18" s="28"/>
      <c r="F18" s="25"/>
      <c r="G18" s="1"/>
      <c r="H18" s="1"/>
      <c r="I18" s="1"/>
    </row>
    <row r="19">
      <c r="A19" s="29" t="s">
        <v>559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00" t="s">
        <v>562</v>
      </c>
      <c r="B29" s="1101"/>
      <c r="C29" s="1101"/>
      <c r="D29" s="1101"/>
      <c r="E29" s="1101"/>
      <c r="F29" s="1101"/>
      <c r="G29" s="1101"/>
      <c r="H29" s="1102"/>
      <c r="I29" s="1100" t="s">
        <v>563</v>
      </c>
      <c r="J29" s="1101"/>
      <c r="K29" s="1101"/>
      <c r="L29" s="1101"/>
      <c r="M29" s="1101"/>
      <c r="N29" s="1101"/>
      <c r="O29" s="1101"/>
      <c r="P29" s="1102"/>
      <c r="Q29" s="1100" t="s">
        <v>556</v>
      </c>
      <c r="R29" s="1101"/>
      <c r="S29" s="1101"/>
      <c r="T29" s="1101"/>
      <c r="U29" s="1101"/>
      <c r="V29" s="1101"/>
      <c r="W29" s="1101"/>
      <c r="X29" s="1102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3" t="s">
        <v>560</v>
      </c>
      <c r="B31" s="1104"/>
      <c r="C31" s="36">
        <f>B19</f>
        <v>400</v>
      </c>
      <c r="D31" s="34" t="s">
        <v>564</v>
      </c>
      <c r="E31" s="36">
        <f>H34</f>
        <v>5</v>
      </c>
      <c r="F31" s="34"/>
      <c r="G31" s="34"/>
      <c r="H31" s="35"/>
      <c r="I31" s="1103" t="s">
        <v>560</v>
      </c>
      <c r="J31" s="1104"/>
      <c r="K31" s="36">
        <f>B19</f>
        <v>400</v>
      </c>
      <c r="L31" s="34" t="s">
        <v>564</v>
      </c>
      <c r="M31" s="36">
        <f>P34</f>
        <v>5</v>
      </c>
      <c r="N31" s="15"/>
      <c r="O31" s="34"/>
      <c r="P31" s="35"/>
      <c r="Q31" s="1105" t="s">
        <v>560</v>
      </c>
      <c r="R31" s="1106"/>
      <c r="S31" s="57">
        <f>B19</f>
        <v>400</v>
      </c>
      <c r="T31" s="47" t="s">
        <v>561</v>
      </c>
      <c r="U31" s="57">
        <f>INT((S31-4)/25)+1</f>
        <v>16</v>
      </c>
      <c r="V31" s="47"/>
      <c r="W31" s="47"/>
      <c r="X31" s="48"/>
    </row>
    <row r="32">
      <c r="A32" s="1107" t="s">
        <v>564</v>
      </c>
      <c r="B32" s="1108"/>
      <c r="C32" s="1108"/>
      <c r="D32" s="34"/>
      <c r="E32" s="34"/>
      <c r="F32" s="38"/>
      <c r="G32" s="34"/>
      <c r="H32" s="35"/>
      <c r="I32" s="1107" t="s">
        <v>565</v>
      </c>
      <c r="J32" s="1108"/>
      <c r="K32" s="1108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09" t="s">
        <v>574</v>
      </c>
      <c r="B1" s="1110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1111"/>
      <c r="B2" s="1112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1111"/>
      <c r="B3" s="1112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1111"/>
      <c r="B4" s="1112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1111"/>
      <c r="B5" s="1112"/>
      <c r="H5" s="18"/>
      <c r="K5" s="1" t="s">
        <v>583</v>
      </c>
      <c r="L5" s="10" t="s">
        <v>584</v>
      </c>
    </row>
    <row r="6">
      <c r="A6" s="1111"/>
      <c r="B6" s="1112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1113"/>
      <c r="B7" s="1114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15" t="s">
        <v>588</v>
      </c>
      <c r="B10" s="1116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1117"/>
      <c r="B11" s="1118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1117"/>
      <c r="B12" s="1118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1117"/>
      <c r="B13" s="1118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1117"/>
      <c r="B14" s="1118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1117"/>
      <c r="B15" s="1118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559</v>
      </c>
      <c r="R15" s="10" t="s">
        <v>589</v>
      </c>
    </row>
    <row r="16">
      <c r="A16" s="1119"/>
      <c r="B16" s="1120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1121" t="s">
        <v>590</v>
      </c>
      <c r="B19" s="1122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1123"/>
      <c r="B20" s="1124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1123"/>
      <c r="B21" s="1124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1123"/>
      <c r="B22" s="1124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1123"/>
      <c r="B23" s="1124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1123"/>
      <c r="B24" s="1124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25"/>
      <c r="B25" s="1126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392</v>
      </c>
      <c r="K2" s="1" t="s">
        <v>591</v>
      </c>
      <c r="O2" s="1" t="s">
        <v>592</v>
      </c>
    </row>
    <row r="3">
      <c r="A3" s="1" t="s">
        <v>373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392</v>
      </c>
      <c r="B6" s="1">
        <f>'Cutting Ro-2'!L14</f>
        <v>5</v>
      </c>
      <c r="C6" s="1" t="s">
        <v>394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898" t="s">
        <v>596</v>
      </c>
      <c r="D10" s="89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898" t="s">
        <v>596</v>
      </c>
      <c r="D11" s="89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373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1127" t="s">
        <v>602</v>
      </c>
      <c r="I7" s="1127"/>
      <c r="J7" s="1127"/>
      <c r="K7" s="1128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1127"/>
      <c r="I8" s="1127"/>
      <c r="J8" s="1127"/>
      <c r="K8" s="1128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1127"/>
      <c r="I9" s="1127"/>
      <c r="J9" s="1127"/>
      <c r="K9" s="1128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1127" t="s">
        <v>606</v>
      </c>
      <c r="I15" s="1127"/>
      <c r="J15" s="1127"/>
      <c r="K15" s="1128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1127"/>
      <c r="I16" s="1127"/>
      <c r="J16" s="1127"/>
      <c r="K16" s="1128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1127"/>
      <c r="I17" s="1127"/>
      <c r="J17" s="1127"/>
      <c r="K17" s="1128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373</v>
      </c>
      <c r="B1" s="20" t="s">
        <v>340</v>
      </c>
      <c r="C1" s="20" t="s">
        <v>342</v>
      </c>
      <c r="D1" s="20" t="s">
        <v>345</v>
      </c>
      <c r="E1" s="20" t="s">
        <v>346</v>
      </c>
      <c r="F1" s="20" t="s">
        <v>350</v>
      </c>
      <c r="G1" s="20" t="s">
        <v>355</v>
      </c>
      <c r="H1" s="20" t="s">
        <v>518</v>
      </c>
      <c r="I1" s="20" t="s">
        <v>352</v>
      </c>
      <c r="J1" s="1094" t="s">
        <v>519</v>
      </c>
      <c r="K1" s="1095"/>
      <c r="L1" s="1095"/>
      <c r="M1" s="1096"/>
      <c r="N1" s="20" t="s">
        <v>520</v>
      </c>
      <c r="O1" s="20" t="s">
        <v>352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366</v>
      </c>
      <c r="K2" s="1" t="s">
        <v>367</v>
      </c>
      <c r="L2" s="1" t="s">
        <v>527</v>
      </c>
      <c r="M2" s="18" t="s">
        <v>347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1097" t="s">
        <v>555</v>
      </c>
      <c r="D17" s="1098"/>
      <c r="E17" s="1098"/>
      <c r="F17" s="1099"/>
      <c r="G17" s="1"/>
      <c r="H17" s="1"/>
      <c r="I17" s="1"/>
    </row>
    <row r="18">
      <c r="A18" s="26" t="s">
        <v>557</v>
      </c>
      <c r="B18" s="27">
        <f>تسجيل1!C7</f>
        <v>400</v>
      </c>
      <c r="C18" s="28" t="s">
        <v>558</v>
      </c>
      <c r="D18" s="28"/>
      <c r="E18" s="28"/>
      <c r="F18" s="25"/>
      <c r="G18" s="1"/>
      <c r="H18" s="1"/>
      <c r="I18" s="1"/>
    </row>
    <row r="19">
      <c r="A19" s="29" t="s">
        <v>559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00" t="s">
        <v>562</v>
      </c>
      <c r="B29" s="1101"/>
      <c r="C29" s="1101"/>
      <c r="D29" s="1101"/>
      <c r="E29" s="1101"/>
      <c r="F29" s="1101"/>
      <c r="G29" s="1101"/>
      <c r="H29" s="1102"/>
      <c r="I29" s="1100" t="s">
        <v>563</v>
      </c>
      <c r="J29" s="1101"/>
      <c r="K29" s="1101"/>
      <c r="L29" s="1101"/>
      <c r="M29" s="1101"/>
      <c r="N29" s="1101"/>
      <c r="O29" s="1101"/>
      <c r="P29" s="1102"/>
      <c r="Q29" s="1100" t="s">
        <v>556</v>
      </c>
      <c r="R29" s="1101"/>
      <c r="S29" s="1101"/>
      <c r="T29" s="1101"/>
      <c r="U29" s="1101"/>
      <c r="V29" s="1101"/>
      <c r="W29" s="1101"/>
      <c r="X29" s="1102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3" t="s">
        <v>560</v>
      </c>
      <c r="B31" s="1104"/>
      <c r="C31" s="36">
        <f>B19</f>
        <v>400</v>
      </c>
      <c r="D31" s="34" t="s">
        <v>564</v>
      </c>
      <c r="E31" s="36">
        <f>H34</f>
        <v>5</v>
      </c>
      <c r="F31" s="34"/>
      <c r="G31" s="34"/>
      <c r="H31" s="35"/>
      <c r="I31" s="1103" t="s">
        <v>560</v>
      </c>
      <c r="J31" s="1104"/>
      <c r="K31" s="36">
        <f>B19</f>
        <v>400</v>
      </c>
      <c r="L31" s="34" t="s">
        <v>564</v>
      </c>
      <c r="M31" s="36">
        <f>P34</f>
        <v>5</v>
      </c>
      <c r="N31" s="15"/>
      <c r="O31" s="34"/>
      <c r="P31" s="35"/>
      <c r="Q31" s="1105" t="s">
        <v>560</v>
      </c>
      <c r="R31" s="1106"/>
      <c r="S31" s="57">
        <f>B19</f>
        <v>400</v>
      </c>
      <c r="T31" s="47" t="s">
        <v>561</v>
      </c>
      <c r="U31" s="57">
        <f>INT((S31-4)/25)+1</f>
        <v>16</v>
      </c>
      <c r="V31" s="47"/>
      <c r="W31" s="47"/>
      <c r="X31" s="48"/>
    </row>
    <row r="32">
      <c r="A32" s="1107" t="s">
        <v>564</v>
      </c>
      <c r="B32" s="1108"/>
      <c r="C32" s="1108"/>
      <c r="D32" s="34"/>
      <c r="E32" s="34"/>
      <c r="F32" s="38"/>
      <c r="G32" s="34"/>
      <c r="H32" s="35"/>
      <c r="I32" s="1107" t="s">
        <v>565</v>
      </c>
      <c r="J32" s="1108"/>
      <c r="K32" s="1108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5"/>
  <sheetViews>
    <sheetView rightToLeft="1" tabSelected="1" topLeftCell="AE15" zoomScale="40" zoomScaleNormal="40" zoomScaleSheetLayoutView="70" zoomScalePageLayoutView="25" workbookViewId="0">
      <selection activeCell="AK28" sqref="AK28:AK29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2" width="23" customWidth="1"/>
    <col min="33" max="33" width="27.6640625" customWidth="1"/>
    <col min="34" max="34" bestFit="1" width="33.6640625" customWidth="1"/>
    <col min="35" max="37" width="23" customWidth="1"/>
    <col min="38" max="38" width="31.6640625" customWidth="1"/>
    <col min="39" max="39" width="33.88671875" customWidth="1"/>
    <col min="40" max="40" width="31.33203125" customWidth="1"/>
    <col min="41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854"/>
      <c r="B1" s="854"/>
      <c r="C1" s="854"/>
      <c r="D1" s="854"/>
      <c r="E1" s="854"/>
      <c r="F1" s="854"/>
      <c r="G1" s="854"/>
      <c r="H1" s="854"/>
      <c r="I1" s="854"/>
      <c r="J1" s="854"/>
      <c r="K1" s="854"/>
      <c r="L1" s="854"/>
      <c r="M1" s="854"/>
      <c r="N1" s="854"/>
      <c r="O1" s="854"/>
      <c r="P1" s="854"/>
      <c r="Q1" s="854"/>
      <c r="R1" s="849"/>
      <c r="S1" s="408" t="s">
        <v>646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6"/>
      <c r="AS1" s="408" t="s">
        <v>647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648</v>
      </c>
      <c r="BE1" s="408"/>
      <c r="BF1" s="827"/>
      <c r="BG1" s="827"/>
      <c r="BH1" s="827"/>
      <c r="BI1" s="827"/>
      <c r="BJ1" s="827"/>
      <c r="BK1" s="827"/>
      <c r="BL1" s="827"/>
      <c r="BM1" s="827"/>
      <c r="BN1" s="827"/>
    </row>
    <row r="2" ht="45" customHeight="1">
      <c r="A2" s="854"/>
      <c r="B2" s="854"/>
      <c r="C2" s="854"/>
      <c r="D2" s="854"/>
      <c r="E2" s="854"/>
      <c r="F2" s="854"/>
      <c r="G2" s="854"/>
      <c r="H2" s="854"/>
      <c r="I2" s="854"/>
      <c r="J2" s="854"/>
      <c r="K2" s="854"/>
      <c r="L2" s="854"/>
      <c r="M2" s="854"/>
      <c r="N2" s="854"/>
      <c r="O2" s="854"/>
      <c r="P2" s="854"/>
      <c r="Q2" s="854"/>
      <c r="R2" s="849"/>
      <c r="S2" s="410" t="s">
        <v>649</v>
      </c>
      <c r="T2" s="411">
        <f>IF((V14="ok"),Royal!G84,"R")</f>
        <v>172048.73027412532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799" t="s">
        <v>649</v>
      </c>
      <c r="AG2" s="82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18478.2</v>
      </c>
      <c r="AH2" s="826"/>
      <c r="AI2" s="414"/>
      <c r="AJ2" s="414"/>
      <c r="AK2" s="414"/>
      <c r="AL2" s="407"/>
      <c r="AM2" s="407"/>
      <c r="AN2" s="407"/>
      <c r="AO2" s="407"/>
      <c r="AP2" s="407"/>
      <c r="AQ2" s="407"/>
      <c r="AR2" s="406"/>
      <c r="AS2" s="463" t="s">
        <v>649</v>
      </c>
      <c r="AT2" s="464">
        <f>IF((AV14="OK"),wavy1!R72,"R")</f>
        <v>116533.69</v>
      </c>
      <c r="AU2" s="412"/>
      <c r="AV2" s="407"/>
      <c r="AW2" s="407"/>
      <c r="AX2" s="407"/>
      <c r="AY2" s="407"/>
      <c r="AZ2" s="407"/>
      <c r="BA2" s="407"/>
      <c r="BB2" s="407"/>
      <c r="BD2" s="478" t="s">
        <v>649</v>
      </c>
      <c r="BE2" s="478">
        <f>IF((BG14="OK"),wavy2!R72,"R")</f>
        <v>154069.87266666669</v>
      </c>
      <c r="BF2" s="827"/>
      <c r="BG2" s="827"/>
      <c r="BH2" s="827"/>
      <c r="BI2" s="827"/>
      <c r="BJ2" s="827"/>
      <c r="BK2" s="827"/>
      <c r="BL2" s="827"/>
      <c r="BM2" s="827"/>
      <c r="BN2" s="827"/>
    </row>
    <row r="3" ht="54.75" customHeight="1">
      <c r="A3" s="854"/>
      <c r="B3" s="854"/>
      <c r="C3" s="854"/>
      <c r="D3" s="854"/>
      <c r="E3" s="854"/>
      <c r="F3" s="854"/>
      <c r="G3" s="854"/>
      <c r="H3" s="854"/>
      <c r="I3" s="854"/>
      <c r="J3" s="854"/>
      <c r="K3" s="854"/>
      <c r="L3" s="854"/>
      <c r="M3" s="854"/>
      <c r="N3" s="854"/>
      <c r="O3" s="854"/>
      <c r="P3" s="854"/>
      <c r="Q3" s="854"/>
      <c r="R3" s="849"/>
      <c r="S3" s="516" t="s">
        <v>127</v>
      </c>
      <c r="T3" s="413">
        <f>T2/(AA10*X8)*10000</f>
        <v>10753.045642132833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799"/>
      <c r="AG3" s="826"/>
      <c r="AH3" s="82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3" t="s">
        <v>127</v>
      </c>
      <c r="AT3" s="465">
        <f>AT2/(AV10*BA12)*10000</f>
        <v>9322.6952</v>
      </c>
      <c r="AU3" s="412"/>
      <c r="AV3" s="414"/>
      <c r="AW3" s="407"/>
      <c r="AX3" s="407"/>
      <c r="AY3" s="407"/>
      <c r="AZ3" s="407"/>
      <c r="BA3" s="407"/>
      <c r="BB3" s="407"/>
      <c r="BD3" s="479" t="s">
        <v>127</v>
      </c>
      <c r="BE3" s="486">
        <f>BE2/(BG10*BL12)*10000</f>
        <v>4401.9963619047621</v>
      </c>
      <c r="BF3" s="827"/>
      <c r="BG3" s="827"/>
      <c r="BH3" s="827"/>
      <c r="BI3" s="827"/>
      <c r="BJ3" s="827"/>
      <c r="BK3" s="827"/>
      <c r="BL3" s="827"/>
      <c r="BM3" s="827"/>
      <c r="BN3" s="827"/>
    </row>
    <row r="4" ht="55.5" customHeight="1">
      <c r="A4" s="854"/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4"/>
      <c r="O4" s="854"/>
      <c r="P4" s="854"/>
      <c r="Q4" s="854"/>
      <c r="R4" s="849"/>
      <c r="S4" s="518" t="s">
        <v>650</v>
      </c>
      <c r="T4" s="519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799"/>
      <c r="AG4" s="826"/>
      <c r="AH4" s="82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650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0" t="s">
        <v>650</v>
      </c>
      <c r="BE4" s="486" t="s">
        <v>21</v>
      </c>
      <c r="BF4" s="828"/>
      <c r="BG4" s="829"/>
      <c r="BH4" s="829"/>
      <c r="BI4" s="829"/>
      <c r="BJ4" s="829"/>
      <c r="BK4" s="829"/>
      <c r="BL4" s="829"/>
      <c r="BM4" s="829"/>
      <c r="BN4" s="825"/>
    </row>
    <row r="5" ht="55.5" customHeight="1">
      <c r="A5" s="854"/>
      <c r="B5" s="854"/>
      <c r="C5" s="854"/>
      <c r="D5" s="854"/>
      <c r="E5" s="854"/>
      <c r="F5" s="854"/>
      <c r="G5" s="854"/>
      <c r="H5" s="854"/>
      <c r="I5" s="854"/>
      <c r="J5" s="854"/>
      <c r="K5" s="854"/>
      <c r="L5" s="854"/>
      <c r="M5" s="854"/>
      <c r="N5" s="854"/>
      <c r="O5" s="854"/>
      <c r="P5" s="854"/>
      <c r="Q5" s="854"/>
      <c r="R5" s="849"/>
      <c r="S5" s="518" t="s">
        <v>609</v>
      </c>
      <c r="T5" s="520" t="s">
        <v>613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6"/>
      <c r="AK5" s="456"/>
      <c r="AL5" s="407"/>
      <c r="AM5" s="407"/>
      <c r="AN5" s="407"/>
      <c r="AO5" s="407"/>
      <c r="AP5" s="407"/>
      <c r="AQ5" s="407"/>
      <c r="AR5" s="406"/>
      <c r="AS5" s="418" t="s">
        <v>609</v>
      </c>
      <c r="AT5" s="795" t="s">
        <v>616</v>
      </c>
      <c r="AU5" s="417"/>
      <c r="AV5" s="417"/>
      <c r="AW5" s="417"/>
      <c r="AX5" s="417"/>
      <c r="AY5" s="417"/>
      <c r="AZ5" s="417"/>
      <c r="BA5" s="417"/>
      <c r="BB5" s="405"/>
      <c r="BD5" s="481" t="s">
        <v>609</v>
      </c>
      <c r="BE5" s="529" t="s">
        <v>616</v>
      </c>
      <c r="BF5" s="828"/>
      <c r="BG5" s="829"/>
      <c r="BH5" s="829"/>
      <c r="BI5" s="829"/>
      <c r="BJ5" s="829"/>
      <c r="BK5" s="829"/>
      <c r="BL5" s="829"/>
      <c r="BM5" s="829"/>
      <c r="BN5" s="825"/>
      <c r="BT5" s="0">
        <v>0</v>
      </c>
    </row>
    <row r="6" ht="55.5" customHeight="1">
      <c r="A6" s="854"/>
      <c r="B6" s="854"/>
      <c r="C6" s="854"/>
      <c r="D6" s="854"/>
      <c r="E6" s="854"/>
      <c r="F6" s="854"/>
      <c r="G6" s="854"/>
      <c r="H6" s="854"/>
      <c r="I6" s="854"/>
      <c r="J6" s="854"/>
      <c r="K6" s="854"/>
      <c r="L6" s="854"/>
      <c r="M6" s="854"/>
      <c r="N6" s="854"/>
      <c r="O6" s="854"/>
      <c r="P6" s="854"/>
      <c r="Q6" s="854"/>
      <c r="R6" s="849"/>
      <c r="S6" s="518" t="s">
        <v>610</v>
      </c>
      <c r="T6" s="519" t="s">
        <v>234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7" t="s">
        <v>651</v>
      </c>
      <c r="AJ6" s="457" t="s">
        <v>652</v>
      </c>
      <c r="AK6" s="458" t="s">
        <v>653</v>
      </c>
      <c r="AL6" s="457" t="s">
        <v>295</v>
      </c>
      <c r="AM6" s="457" t="s">
        <v>654</v>
      </c>
      <c r="AN6" s="459" t="s">
        <v>655</v>
      </c>
      <c r="AO6" s="832" t="s">
        <v>656</v>
      </c>
      <c r="AP6" s="833"/>
      <c r="AQ6" s="407"/>
      <c r="AR6" s="406"/>
      <c r="AS6" s="420" t="s">
        <v>610</v>
      </c>
      <c r="AT6" s="421" t="s">
        <v>234</v>
      </c>
      <c r="AU6" s="466"/>
      <c r="AV6" s="466"/>
      <c r="AW6" s="466"/>
      <c r="AX6" s="466"/>
      <c r="AY6" s="466"/>
      <c r="AZ6" s="466"/>
      <c r="BA6" s="466"/>
      <c r="BB6" s="466"/>
      <c r="BD6" s="481" t="s">
        <v>610</v>
      </c>
      <c r="BE6" s="486" t="s">
        <v>230</v>
      </c>
      <c r="BF6" s="466"/>
      <c r="BG6" s="466"/>
      <c r="BH6" s="466"/>
      <c r="BI6" s="466"/>
      <c r="BJ6" s="466"/>
      <c r="BK6" s="466"/>
      <c r="BL6" s="466"/>
      <c r="BM6" s="466"/>
      <c r="BN6" s="825"/>
    </row>
    <row r="7" ht="18.75" customHeight="1">
      <c r="A7" s="854"/>
      <c r="B7" s="854"/>
      <c r="C7" s="854"/>
      <c r="D7" s="854"/>
      <c r="E7" s="854"/>
      <c r="F7" s="854"/>
      <c r="G7" s="854"/>
      <c r="H7" s="854"/>
      <c r="I7" s="854"/>
      <c r="J7" s="854"/>
      <c r="K7" s="854"/>
      <c r="L7" s="854"/>
      <c r="M7" s="854"/>
      <c r="N7" s="854"/>
      <c r="O7" s="854"/>
      <c r="P7" s="854"/>
      <c r="Q7" s="854"/>
      <c r="R7" s="849"/>
      <c r="S7" s="514"/>
      <c r="T7" s="515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7"/>
      <c r="AV7" s="467"/>
      <c r="AW7" s="467"/>
      <c r="AX7" s="482"/>
      <c r="AY7" s="482"/>
      <c r="AZ7" s="466"/>
      <c r="BA7" s="466"/>
      <c r="BB7" s="466"/>
      <c r="BD7" s="422"/>
      <c r="BE7" s="423"/>
      <c r="BF7" s="466"/>
      <c r="BG7" s="466"/>
      <c r="BH7" s="466"/>
      <c r="BI7" s="466"/>
      <c r="BJ7" s="466"/>
      <c r="BK7" s="466"/>
      <c r="BL7" s="466"/>
      <c r="BM7" s="466"/>
      <c r="BN7" s="825"/>
    </row>
    <row r="8" ht="55.5" customHeight="1">
      <c r="A8" s="407"/>
      <c r="B8" s="861"/>
      <c r="C8" s="861"/>
      <c r="D8" s="861"/>
      <c r="E8" s="407"/>
      <c r="F8" s="863"/>
      <c r="G8" s="863"/>
      <c r="H8" s="863"/>
      <c r="I8" s="854"/>
      <c r="J8" s="860"/>
      <c r="K8" s="860"/>
      <c r="L8" s="860"/>
      <c r="M8" s="854"/>
      <c r="N8" s="862"/>
      <c r="O8" s="862"/>
      <c r="P8" s="862"/>
      <c r="Q8" s="407"/>
      <c r="R8" s="849"/>
      <c r="S8" s="864"/>
      <c r="T8" s="864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0" t="s">
        <v>256</v>
      </c>
      <c r="AJ8" s="461" t="s">
        <v>207</v>
      </c>
      <c r="AK8" s="461">
        <v>3</v>
      </c>
      <c r="AL8" s="461" t="s">
        <v>234</v>
      </c>
      <c r="AM8" s="461" t="s">
        <v>208</v>
      </c>
      <c r="AN8" s="462" t="s">
        <v>257</v>
      </c>
      <c r="AO8" s="834"/>
      <c r="AP8" s="835"/>
      <c r="AQ8" s="407"/>
      <c r="AR8" s="406"/>
      <c r="AS8" s="431"/>
      <c r="AT8" s="431"/>
      <c r="AU8" s="466"/>
      <c r="AV8" s="466"/>
      <c r="AW8" s="466"/>
      <c r="AX8" s="466"/>
      <c r="AY8" s="466"/>
      <c r="AZ8" s="466"/>
      <c r="BA8" s="466"/>
      <c r="BB8" s="466"/>
      <c r="BD8" s="431"/>
      <c r="BE8" s="431"/>
      <c r="BF8" s="466"/>
      <c r="BG8" s="466"/>
      <c r="BH8" s="466"/>
      <c r="BI8" s="466"/>
      <c r="BJ8" s="466"/>
      <c r="BK8" s="466"/>
      <c r="BL8" s="466"/>
      <c r="BM8" s="466"/>
      <c r="BN8" s="825"/>
    </row>
    <row r="9" ht="55.5" customHeight="1">
      <c r="A9" s="407"/>
      <c r="B9" s="861"/>
      <c r="C9" s="861"/>
      <c r="D9" s="861"/>
      <c r="E9" s="407"/>
      <c r="F9" s="863"/>
      <c r="G9" s="863"/>
      <c r="H9" s="863"/>
      <c r="I9" s="854"/>
      <c r="J9" s="860"/>
      <c r="K9" s="860"/>
      <c r="L9" s="860"/>
      <c r="M9" s="854"/>
      <c r="N9" s="862"/>
      <c r="O9" s="862"/>
      <c r="P9" s="862"/>
      <c r="Q9" s="407"/>
      <c r="R9" s="849"/>
      <c r="S9" s="865"/>
      <c r="T9" s="865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657</v>
      </c>
      <c r="AT9" s="416" t="s">
        <v>189</v>
      </c>
      <c r="AU9" s="466"/>
      <c r="AV9" s="466"/>
      <c r="AW9" s="466"/>
      <c r="AX9" s="466"/>
      <c r="AY9" s="466"/>
      <c r="AZ9" s="466"/>
      <c r="BA9" s="466"/>
      <c r="BB9" s="466"/>
      <c r="BD9" s="415" t="s">
        <v>657</v>
      </c>
      <c r="BE9" s="416" t="s">
        <v>189</v>
      </c>
      <c r="BF9" s="466"/>
      <c r="BG9" s="466"/>
      <c r="BH9" s="466"/>
      <c r="BI9" s="466"/>
      <c r="BJ9" s="466"/>
      <c r="BK9" s="466"/>
      <c r="BL9" s="466"/>
      <c r="BM9" s="466"/>
      <c r="BN9" s="825"/>
    </row>
    <row r="10" ht="55.5" customHeight="1">
      <c r="A10" s="407"/>
      <c r="B10" s="861"/>
      <c r="C10" s="861"/>
      <c r="D10" s="861"/>
      <c r="E10" s="407"/>
      <c r="F10" s="863"/>
      <c r="G10" s="863"/>
      <c r="H10" s="863"/>
      <c r="I10" s="854"/>
      <c r="J10" s="860"/>
      <c r="K10" s="860"/>
      <c r="L10" s="860"/>
      <c r="M10" s="854"/>
      <c r="N10" s="862"/>
      <c r="O10" s="862"/>
      <c r="P10" s="862"/>
      <c r="Q10" s="407"/>
      <c r="R10" s="849"/>
      <c r="S10" s="517" t="s">
        <v>658</v>
      </c>
      <c r="T10" s="416" t="s">
        <v>612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836" t="s">
        <v>659</v>
      </c>
      <c r="AF10" s="836"/>
      <c r="AG10" s="836"/>
      <c r="AH10" s="836"/>
      <c r="AI10" s="836"/>
      <c r="AJ10" s="836"/>
      <c r="AK10" s="836"/>
      <c r="AL10" s="836"/>
      <c r="AM10" s="836"/>
      <c r="AN10" s="836"/>
      <c r="AO10" s="836"/>
      <c r="AP10" s="836"/>
      <c r="AQ10" s="836"/>
      <c r="AR10" s="406"/>
      <c r="AS10" s="415" t="s">
        <v>608</v>
      </c>
      <c r="AT10" s="416" t="s">
        <v>615</v>
      </c>
      <c r="AU10" s="466"/>
      <c r="AV10" s="468">
        <v>250</v>
      </c>
      <c r="AW10" s="469"/>
      <c r="AX10" s="469"/>
      <c r="AY10" s="469"/>
      <c r="AZ10" s="469"/>
      <c r="BA10" s="466"/>
      <c r="BB10" s="466"/>
      <c r="BD10" s="415" t="s">
        <v>608</v>
      </c>
      <c r="BE10" s="416" t="s">
        <v>612</v>
      </c>
      <c r="BF10" s="466"/>
      <c r="BG10" s="468">
        <v>500</v>
      </c>
      <c r="BH10" s="469"/>
      <c r="BI10" s="469"/>
      <c r="BJ10" s="469"/>
      <c r="BK10" s="469"/>
      <c r="BL10" s="466"/>
      <c r="BM10" s="466"/>
      <c r="BN10" s="825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849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8"/>
      <c r="AF11" s="588"/>
      <c r="AG11" s="588"/>
      <c r="AH11" s="588"/>
      <c r="AI11" s="588"/>
      <c r="AJ11" s="588"/>
      <c r="AK11" s="588"/>
      <c r="AL11" s="588"/>
      <c r="AM11" s="588"/>
      <c r="AN11" s="588"/>
      <c r="AO11" s="588"/>
      <c r="AP11" s="588"/>
      <c r="AQ11" s="588"/>
      <c r="AR11" s="406"/>
      <c r="AS11" s="428"/>
      <c r="AT11" s="429"/>
      <c r="AU11" s="466"/>
      <c r="AV11" s="469"/>
      <c r="AW11" s="469"/>
      <c r="AX11" s="469"/>
      <c r="AY11" s="469"/>
      <c r="AZ11" s="469"/>
      <c r="BA11" s="469"/>
      <c r="BB11" s="466"/>
      <c r="BD11" s="428"/>
      <c r="BE11" s="429"/>
      <c r="BF11" s="466"/>
      <c r="BG11" s="469"/>
      <c r="BH11" s="469"/>
      <c r="BI11" s="469"/>
      <c r="BJ11" s="469"/>
      <c r="BK11" s="469"/>
      <c r="BL11" s="469"/>
      <c r="BM11" s="466"/>
      <c r="BN11" s="825"/>
    </row>
    <row r="12" ht="42" customHeight="1" s="405" customFormat="1">
      <c r="A12" s="407"/>
      <c r="B12" s="860"/>
      <c r="C12" s="860"/>
      <c r="D12" s="860"/>
      <c r="E12" s="407"/>
      <c r="F12" s="867"/>
      <c r="G12" s="867"/>
      <c r="H12" s="867"/>
      <c r="I12" s="854"/>
      <c r="J12" s="860"/>
      <c r="K12" s="860"/>
      <c r="L12" s="860"/>
      <c r="M12" s="854"/>
      <c r="N12" s="866"/>
      <c r="O12" s="866"/>
      <c r="P12" s="866"/>
      <c r="Q12" s="407"/>
      <c r="R12" s="849"/>
      <c r="S12" s="518" t="s">
        <v>660</v>
      </c>
      <c r="T12" s="521"/>
      <c r="AC12" s="599"/>
      <c r="AD12" s="629"/>
      <c r="AE12" s="629"/>
      <c r="AF12" s="629"/>
      <c r="AG12" s="629"/>
      <c r="AH12" s="629"/>
      <c r="AI12" s="629"/>
      <c r="AJ12" s="629"/>
      <c r="AK12" s="629"/>
      <c r="AL12" s="629"/>
      <c r="AM12" s="629"/>
      <c r="AN12" s="629"/>
      <c r="AO12" s="629"/>
      <c r="AP12" s="629"/>
      <c r="AQ12" s="629"/>
      <c r="AR12" s="629"/>
      <c r="AS12" s="430" t="s">
        <v>660</v>
      </c>
      <c r="AT12" s="431"/>
      <c r="AU12" s="466"/>
      <c r="AV12" s="466"/>
      <c r="AW12" s="466"/>
      <c r="AX12" s="466"/>
      <c r="AY12" s="466"/>
      <c r="AZ12" s="466"/>
      <c r="BA12" s="468">
        <v>500</v>
      </c>
      <c r="BB12" s="466"/>
      <c r="BC12" s="406"/>
      <c r="BD12" s="483" t="s">
        <v>660</v>
      </c>
      <c r="BE12" s="487"/>
      <c r="BF12" s="466"/>
      <c r="BG12" s="466"/>
      <c r="BH12" s="466"/>
      <c r="BI12" s="466"/>
      <c r="BJ12" s="466"/>
      <c r="BK12" s="466"/>
      <c r="BL12" s="468">
        <v>700</v>
      </c>
      <c r="BM12" s="466"/>
      <c r="BN12" s="825"/>
    </row>
    <row r="13" ht="55.5" customHeight="1" s="405" customFormat="1">
      <c r="A13" s="407"/>
      <c r="B13" s="860"/>
      <c r="C13" s="860"/>
      <c r="D13" s="860"/>
      <c r="E13" s="407"/>
      <c r="F13" s="867"/>
      <c r="G13" s="867"/>
      <c r="H13" s="867"/>
      <c r="I13" s="854"/>
      <c r="J13" s="860"/>
      <c r="K13" s="860"/>
      <c r="L13" s="860"/>
      <c r="M13" s="854"/>
      <c r="N13" s="866"/>
      <c r="O13" s="866"/>
      <c r="P13" s="866"/>
      <c r="Q13" s="407"/>
      <c r="R13" s="849"/>
      <c r="S13" s="523" t="s">
        <v>661</v>
      </c>
      <c r="T13" s="487"/>
      <c r="AC13" s="407"/>
      <c r="AD13" s="629"/>
      <c r="AE13" s="407"/>
      <c r="AF13" s="838" t="s">
        <v>649</v>
      </c>
      <c r="AG13" s="837">
        <f>IF(AND(AJ17='شماسي كانتليفر'!K11,AK17=3),'شماسي كانتليفر'!I1,IF(AND(تسعير!AJ17='شماسي كانتليفر'!P1,تسعير!AK17=3),'شماسي كانتليفر'!V23,IF(AND(تسعير!AJ17='شماسي كانتليفر'!P1,تسعير!AK17=2.5),'شماسي كانتليفر'!W23,0)))</f>
        <v>17819.892</v>
      </c>
      <c r="AH13" s="837"/>
      <c r="AI13" s="414"/>
      <c r="AJ13" s="414"/>
      <c r="AK13" s="414"/>
      <c r="AL13" s="850" t="s">
        <v>662</v>
      </c>
      <c r="AM13" s="850"/>
      <c r="AN13" s="850"/>
      <c r="AO13" s="407"/>
      <c r="AP13" s="407"/>
      <c r="AQ13" s="407"/>
      <c r="AR13" s="629"/>
      <c r="AS13" s="430" t="s">
        <v>661</v>
      </c>
      <c r="AT13" s="430"/>
      <c r="AU13" s="466"/>
      <c r="AV13" s="466"/>
      <c r="AW13" s="466"/>
      <c r="AX13" s="466"/>
      <c r="AY13" s="466"/>
      <c r="AZ13" s="466"/>
      <c r="BA13" s="466" t="s">
        <v>663</v>
      </c>
      <c r="BB13" s="466"/>
      <c r="BC13" s="406"/>
      <c r="BD13" s="483" t="s">
        <v>661</v>
      </c>
      <c r="BE13" s="483"/>
      <c r="BF13" s="466"/>
      <c r="BG13" s="466"/>
      <c r="BH13" s="466"/>
      <c r="BI13" s="466"/>
      <c r="BJ13" s="466"/>
      <c r="BK13" s="466"/>
      <c r="BL13" s="466"/>
      <c r="BM13" s="466"/>
      <c r="BN13" s="825"/>
    </row>
    <row r="14" ht="55.5" customHeight="1" s="405" customFormat="1">
      <c r="A14" s="407"/>
      <c r="B14" s="860"/>
      <c r="C14" s="860"/>
      <c r="D14" s="860"/>
      <c r="E14" s="407"/>
      <c r="F14" s="867"/>
      <c r="G14" s="867"/>
      <c r="H14" s="867"/>
      <c r="I14" s="854"/>
      <c r="J14" s="860"/>
      <c r="K14" s="860"/>
      <c r="L14" s="860"/>
      <c r="M14" s="854"/>
      <c r="N14" s="866"/>
      <c r="O14" s="866"/>
      <c r="P14" s="866"/>
      <c r="Q14" s="407"/>
      <c r="R14" s="849"/>
      <c r="S14" s="524" t="s">
        <v>664</v>
      </c>
      <c r="T14" s="522"/>
      <c r="U14" s="488" t="s">
        <v>617</v>
      </c>
      <c r="V14" s="830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831"/>
      <c r="X14" s="831"/>
      <c r="Y14" s="831"/>
      <c r="Z14" s="831"/>
      <c r="AA14" s="831"/>
      <c r="AB14" s="831"/>
      <c r="AC14" s="831"/>
      <c r="AD14" s="629"/>
      <c r="AE14" s="407"/>
      <c r="AF14" s="838"/>
      <c r="AG14" s="837"/>
      <c r="AH14" s="837"/>
      <c r="AI14" s="407"/>
      <c r="AJ14" s="407"/>
      <c r="AK14" s="407"/>
      <c r="AL14" s="850"/>
      <c r="AM14" s="850"/>
      <c r="AN14" s="850"/>
      <c r="AO14" s="407"/>
      <c r="AP14" s="407"/>
      <c r="AQ14" s="407"/>
      <c r="AR14" s="629"/>
      <c r="AS14" s="430" t="s">
        <v>664</v>
      </c>
      <c r="AT14" s="430"/>
      <c r="AU14" s="426" t="s">
        <v>617</v>
      </c>
      <c r="AV14" s="830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831"/>
      <c r="AX14" s="831"/>
      <c r="AY14" s="831"/>
      <c r="AZ14" s="831"/>
      <c r="BA14" s="831"/>
      <c r="BB14" s="831"/>
      <c r="BC14" s="406"/>
      <c r="BD14" s="483" t="s">
        <v>664</v>
      </c>
      <c r="BE14" s="483"/>
      <c r="BF14" s="488" t="s">
        <v>614</v>
      </c>
      <c r="BG14" s="830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831"/>
      <c r="BI14" s="831"/>
      <c r="BJ14" s="831"/>
      <c r="BK14" s="831"/>
      <c r="BL14" s="831"/>
      <c r="BM14" s="831"/>
      <c r="BN14" s="528"/>
    </row>
    <row r="15" ht="18.75" customHeight="1" s="405" customFormat="1">
      <c r="A15" s="407"/>
      <c r="B15" s="854"/>
      <c r="C15" s="854"/>
      <c r="D15" s="854"/>
      <c r="E15" s="854"/>
      <c r="F15" s="854"/>
      <c r="G15" s="854"/>
      <c r="H15" s="854"/>
      <c r="I15" s="854"/>
      <c r="J15" s="854"/>
      <c r="K15" s="854"/>
      <c r="L15" s="854"/>
      <c r="M15" s="854"/>
      <c r="N15" s="854"/>
      <c r="O15" s="854"/>
      <c r="P15" s="854"/>
      <c r="Q15" s="407"/>
      <c r="R15" s="849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629"/>
      <c r="AE15" s="407"/>
      <c r="AF15" s="407"/>
      <c r="AG15" s="407"/>
      <c r="AH15" s="407"/>
      <c r="AI15" s="407"/>
      <c r="AJ15" s="456"/>
      <c r="AK15" s="456"/>
      <c r="AL15" s="407"/>
      <c r="AM15" s="407"/>
      <c r="AN15" s="407"/>
      <c r="AO15" s="407"/>
      <c r="AP15" s="407"/>
      <c r="AQ15" s="407"/>
      <c r="AR15" s="629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854"/>
      <c r="B16" s="854"/>
      <c r="C16" s="854"/>
      <c r="D16" s="854"/>
      <c r="E16" s="854"/>
      <c r="F16" s="854"/>
      <c r="G16" s="854"/>
      <c r="H16" s="854"/>
      <c r="I16" s="854"/>
      <c r="J16" s="854"/>
      <c r="K16" s="854"/>
      <c r="L16" s="854"/>
      <c r="M16" s="854"/>
      <c r="N16" s="854"/>
      <c r="O16" s="854"/>
      <c r="P16" s="854"/>
      <c r="Q16" s="854"/>
      <c r="R16" s="849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629"/>
      <c r="AE16" s="407"/>
      <c r="AF16" s="407"/>
      <c r="AG16" s="407"/>
      <c r="AH16" s="407"/>
      <c r="AI16" s="457" t="s">
        <v>651</v>
      </c>
      <c r="AJ16" s="457" t="s">
        <v>652</v>
      </c>
      <c r="AK16" s="458" t="s">
        <v>653</v>
      </c>
      <c r="AL16" s="457" t="s">
        <v>295</v>
      </c>
      <c r="AM16" s="457" t="s">
        <v>654</v>
      </c>
      <c r="AN16" s="793" t="s">
        <v>656</v>
      </c>
      <c r="AO16" s="407"/>
      <c r="AP16" s="407"/>
      <c r="AQ16" s="407"/>
      <c r="AR16" s="629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854"/>
      <c r="B17" s="854"/>
      <c r="C17" s="854"/>
      <c r="D17" s="854"/>
      <c r="E17" s="854"/>
      <c r="F17" s="854"/>
      <c r="G17" s="854"/>
      <c r="H17" s="854"/>
      <c r="I17" s="854"/>
      <c r="J17" s="854"/>
      <c r="K17" s="854"/>
      <c r="L17" s="854"/>
      <c r="M17" s="854"/>
      <c r="N17" s="854"/>
      <c r="O17" s="854"/>
      <c r="P17" s="854"/>
      <c r="Q17" s="854"/>
      <c r="R17" s="849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629"/>
      <c r="AE17" s="407"/>
      <c r="AF17" s="407"/>
      <c r="AG17" s="407"/>
      <c r="AH17" s="407"/>
      <c r="AI17" s="460" t="s">
        <v>256</v>
      </c>
      <c r="AJ17" s="461" t="s">
        <v>665</v>
      </c>
      <c r="AK17" s="461">
        <v>3</v>
      </c>
      <c r="AL17" s="461" t="s">
        <v>230</v>
      </c>
      <c r="AM17" s="461" t="s">
        <v>224</v>
      </c>
      <c r="AN17" s="794"/>
      <c r="AO17" s="407"/>
      <c r="AP17" s="407"/>
      <c r="AQ17" s="407"/>
      <c r="AR17" s="629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854"/>
      <c r="B18" s="854"/>
      <c r="C18" s="854"/>
      <c r="D18" s="854"/>
      <c r="E18" s="854"/>
      <c r="F18" s="854"/>
      <c r="G18" s="854"/>
      <c r="H18" s="854"/>
      <c r="I18" s="854"/>
      <c r="J18" s="854"/>
      <c r="K18" s="854"/>
      <c r="L18" s="854"/>
      <c r="M18" s="854"/>
      <c r="N18" s="854"/>
      <c r="O18" s="854"/>
      <c r="P18" s="854"/>
      <c r="Q18" s="854"/>
      <c r="R18" s="849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629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629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854"/>
      <c r="B19" s="854"/>
      <c r="C19" s="854"/>
      <c r="D19" s="854"/>
      <c r="E19" s="854"/>
      <c r="F19" s="854"/>
      <c r="G19" s="854"/>
      <c r="H19" s="854"/>
      <c r="I19" s="854"/>
      <c r="J19" s="854"/>
      <c r="K19" s="854"/>
      <c r="L19" s="854"/>
      <c r="M19" s="854"/>
      <c r="N19" s="854"/>
      <c r="O19" s="854"/>
      <c r="P19" s="854"/>
      <c r="Q19" s="854"/>
      <c r="R19" s="849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629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629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854"/>
      <c r="B20" s="854"/>
      <c r="C20" s="854"/>
      <c r="D20" s="854"/>
      <c r="E20" s="854"/>
      <c r="F20" s="854"/>
      <c r="G20" s="854"/>
      <c r="H20" s="854"/>
      <c r="I20" s="854"/>
      <c r="J20" s="854"/>
      <c r="K20" s="854"/>
      <c r="L20" s="854"/>
      <c r="M20" s="854"/>
      <c r="N20" s="854"/>
      <c r="O20" s="854"/>
      <c r="P20" s="854"/>
      <c r="Q20" s="854"/>
      <c r="R20" s="849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629"/>
      <c r="AE20" s="836" t="s">
        <v>666</v>
      </c>
      <c r="AF20" s="836"/>
      <c r="AG20" s="836"/>
      <c r="AH20" s="836"/>
      <c r="AI20" s="836"/>
      <c r="AJ20" s="836"/>
      <c r="AK20" s="836"/>
      <c r="AL20" s="836"/>
      <c r="AM20" s="836"/>
      <c r="AN20" s="836"/>
      <c r="AO20" s="836"/>
      <c r="AP20" s="836"/>
      <c r="AQ20" s="836"/>
      <c r="AR20" s="629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853"/>
      <c r="B21" s="853"/>
      <c r="C21" s="853"/>
      <c r="D21" s="853"/>
      <c r="E21" s="853"/>
      <c r="F21" s="853"/>
      <c r="G21" s="853"/>
      <c r="H21" s="853"/>
      <c r="I21" s="853"/>
      <c r="J21" s="853"/>
      <c r="K21" s="853"/>
      <c r="L21" s="853"/>
      <c r="M21" s="853"/>
      <c r="N21" s="853"/>
      <c r="O21" s="853"/>
      <c r="P21" s="853"/>
      <c r="Q21" s="853"/>
      <c r="R21" s="849"/>
      <c r="S21" s="847" t="s">
        <v>667</v>
      </c>
      <c r="T21" s="848"/>
      <c r="U21" s="407"/>
      <c r="V21" s="407"/>
      <c r="W21" s="407"/>
      <c r="X21" s="407"/>
      <c r="Y21" s="407"/>
      <c r="Z21" s="407"/>
      <c r="AA21" s="407"/>
      <c r="AB21" s="407"/>
      <c r="AC21" s="407"/>
      <c r="AD21" s="629"/>
      <c r="AE21" s="836"/>
      <c r="AF21" s="836"/>
      <c r="AG21" s="836"/>
      <c r="AH21" s="836"/>
      <c r="AI21" s="836"/>
      <c r="AJ21" s="836"/>
      <c r="AK21" s="836"/>
      <c r="AL21" s="836"/>
      <c r="AM21" s="836"/>
      <c r="AN21" s="836"/>
      <c r="AO21" s="836"/>
      <c r="AP21" s="836"/>
      <c r="AQ21" s="836"/>
      <c r="AR21" s="629"/>
      <c r="AS21" s="408" t="s">
        <v>668</v>
      </c>
      <c r="AT21" s="408"/>
      <c r="AU21" s="470"/>
      <c r="AW21" s="476"/>
      <c r="BC21" s="406"/>
      <c r="BD21" s="408" t="s">
        <v>669</v>
      </c>
      <c r="BE21" s="408"/>
      <c r="BF21" s="470"/>
      <c r="BH21" s="476"/>
      <c r="BN21" s="407"/>
    </row>
    <row r="22" ht="39.75" customHeight="1" s="405" customFormat="1">
      <c r="A22" s="853"/>
      <c r="B22" s="853"/>
      <c r="C22" s="853"/>
      <c r="D22" s="853"/>
      <c r="E22" s="853"/>
      <c r="F22" s="853"/>
      <c r="G22" s="853"/>
      <c r="H22" s="853"/>
      <c r="I22" s="853"/>
      <c r="J22" s="853"/>
      <c r="K22" s="853"/>
      <c r="L22" s="853"/>
      <c r="M22" s="853"/>
      <c r="N22" s="853"/>
      <c r="O22" s="853"/>
      <c r="P22" s="853"/>
      <c r="Q22" s="853"/>
      <c r="R22" s="849"/>
      <c r="S22" s="434" t="s">
        <v>649</v>
      </c>
      <c r="T22" s="435">
        <f>Royal2!G86</f>
        <v>199486.2685563264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29"/>
      <c r="AE22" s="630"/>
      <c r="AF22" s="630"/>
      <c r="AG22" s="630"/>
      <c r="AH22" s="631"/>
      <c r="AI22" s="630"/>
      <c r="AJ22" s="630"/>
      <c r="AK22" s="630"/>
      <c r="AL22" s="630"/>
      <c r="AM22" s="630"/>
      <c r="AN22" s="630"/>
      <c r="AO22" s="630"/>
      <c r="AP22" s="630"/>
      <c r="AQ22" s="630"/>
      <c r="AR22" s="629"/>
      <c r="AS22" s="463" t="s">
        <v>649</v>
      </c>
      <c r="AT22" s="464">
        <f>'بيرسا و لوفرز'!R69</f>
        <v>335659.584</v>
      </c>
      <c r="AU22" s="471"/>
      <c r="BC22" s="406"/>
      <c r="BD22" s="463" t="s">
        <v>649</v>
      </c>
      <c r="BE22" s="464">
        <f>'بيرسا و لوفرز'!R140</f>
        <v>331853.92933333339</v>
      </c>
      <c r="BF22" s="471"/>
      <c r="BN22" s="407"/>
    </row>
    <row r="23" ht="39.75" customHeight="1" s="405" customFormat="1">
      <c r="A23" s="853"/>
      <c r="B23" s="853"/>
      <c r="C23" s="853"/>
      <c r="D23" s="853"/>
      <c r="E23" s="853"/>
      <c r="F23" s="853"/>
      <c r="G23" s="853"/>
      <c r="H23" s="853"/>
      <c r="I23" s="853"/>
      <c r="J23" s="853"/>
      <c r="K23" s="853"/>
      <c r="L23" s="853"/>
      <c r="M23" s="853"/>
      <c r="N23" s="853"/>
      <c r="O23" s="853"/>
      <c r="P23" s="853"/>
      <c r="Q23" s="853"/>
      <c r="R23" s="849"/>
      <c r="S23" s="436" t="s">
        <v>127</v>
      </c>
      <c r="T23" s="435">
        <f>T22/(AA33*X31)*10000</f>
        <v>12467.8917847704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799" t="s">
        <v>649</v>
      </c>
      <c r="AF23" s="799"/>
      <c r="AG23" s="800" t="b">
        <f>IF(AL32="OK",IF(AF28='شماسي كانتليفر'!K10,'شماسي كانتليفر'!T1,IF(AF28='شماسي كانتليفر'!K11,'شماسي كانتليفر'!I1,IF(AF28='شماسي كانتليفر'!K12,'شماسي كانتليفر'!D24,IF(AF28='شماسي كانتليفر'!K13,'شماسي كانتليفر'!T25,IF(AF28='شماسي كانتليفر'!K14,'شماسي و كانتليفر'!AE12,"CHEAK"))))))</f>
        <v>0</v>
      </c>
      <c r="AH23" s="800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3" t="s">
        <v>127</v>
      </c>
      <c r="AT23" s="465">
        <f>AT22/(AT33*AT34/10000)</f>
        <v>16782.979199999998</v>
      </c>
      <c r="AU23" s="471"/>
      <c r="AV23" s="472"/>
      <c r="BC23" s="406"/>
      <c r="BD23" s="463" t="s">
        <v>127</v>
      </c>
      <c r="BE23" s="465">
        <f>BE22/(BE33*BE34/10000)</f>
        <v>16592.696466666668</v>
      </c>
      <c r="BF23" s="471"/>
      <c r="BG23" s="472"/>
      <c r="BN23" s="407"/>
    </row>
    <row r="24" ht="39.75" customHeight="1" s="405" customFormat="1">
      <c r="A24" s="853"/>
      <c r="B24" s="853"/>
      <c r="C24" s="853"/>
      <c r="D24" s="853"/>
      <c r="E24" s="853"/>
      <c r="F24" s="853"/>
      <c r="G24" s="853"/>
      <c r="H24" s="853"/>
      <c r="I24" s="853"/>
      <c r="J24" s="853"/>
      <c r="K24" s="853"/>
      <c r="L24" s="853"/>
      <c r="M24" s="853"/>
      <c r="N24" s="853"/>
      <c r="O24" s="853"/>
      <c r="P24" s="853"/>
      <c r="Q24" s="853"/>
      <c r="R24" s="849"/>
      <c r="S24" s="432" t="s">
        <v>650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799"/>
      <c r="AF24" s="799"/>
      <c r="AG24" s="800"/>
      <c r="AH24" s="800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650</v>
      </c>
      <c r="AT24" s="416" t="s">
        <v>21</v>
      </c>
      <c r="BC24" s="406"/>
      <c r="BD24" s="418" t="s">
        <v>650</v>
      </c>
      <c r="BE24" s="416" t="s">
        <v>21</v>
      </c>
      <c r="BN24" s="407"/>
    </row>
    <row r="25" ht="39.75" customHeight="1">
      <c r="A25" s="853"/>
      <c r="B25" s="853"/>
      <c r="C25" s="853"/>
      <c r="D25" s="853"/>
      <c r="E25" s="853"/>
      <c r="F25" s="853"/>
      <c r="G25" s="853"/>
      <c r="H25" s="853"/>
      <c r="I25" s="853"/>
      <c r="J25" s="853"/>
      <c r="K25" s="853"/>
      <c r="L25" s="853"/>
      <c r="M25" s="853"/>
      <c r="N25" s="853"/>
      <c r="O25" s="853"/>
      <c r="P25" s="853"/>
      <c r="Q25" s="853"/>
      <c r="R25" s="849"/>
      <c r="S25" s="437" t="s">
        <v>609</v>
      </c>
      <c r="T25" s="438" t="s">
        <v>613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2"/>
      <c r="AF25" s="453"/>
      <c r="AG25" s="453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609</v>
      </c>
      <c r="AT25" s="419" t="s">
        <v>616</v>
      </c>
      <c r="AW25" s="484">
        <v>500</v>
      </c>
      <c r="BD25" s="418" t="s">
        <v>609</v>
      </c>
      <c r="BE25" s="419" t="s">
        <v>613</v>
      </c>
      <c r="BH25" s="484">
        <f>BE34</f>
        <v>500</v>
      </c>
      <c r="BN25" s="407"/>
    </row>
    <row r="26" ht="39.75" customHeight="1">
      <c r="A26" s="853"/>
      <c r="B26" s="853"/>
      <c r="C26" s="853"/>
      <c r="D26" s="853"/>
      <c r="E26" s="853"/>
      <c r="F26" s="853"/>
      <c r="G26" s="853"/>
      <c r="H26" s="853"/>
      <c r="I26" s="853"/>
      <c r="J26" s="853"/>
      <c r="K26" s="853"/>
      <c r="L26" s="853"/>
      <c r="M26" s="853"/>
      <c r="N26" s="853"/>
      <c r="O26" s="853"/>
      <c r="P26" s="853"/>
      <c r="Q26" s="853"/>
      <c r="R26" s="849"/>
      <c r="S26" s="432" t="s">
        <v>610</v>
      </c>
      <c r="T26" s="439" t="s">
        <v>230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801" t="s">
        <v>670</v>
      </c>
      <c r="AG26" s="801" t="s">
        <v>651</v>
      </c>
      <c r="AH26" s="803" t="s">
        <v>200</v>
      </c>
      <c r="AI26" s="801" t="s">
        <v>295</v>
      </c>
      <c r="AJ26" s="801" t="s">
        <v>654</v>
      </c>
      <c r="AK26" s="801" t="s">
        <v>655</v>
      </c>
      <c r="AL26" s="820" t="s">
        <v>656</v>
      </c>
      <c r="AM26" s="820"/>
      <c r="AN26" s="801" t="s">
        <v>671</v>
      </c>
      <c r="AO26" s="407"/>
      <c r="AP26" s="407"/>
      <c r="AQ26" s="407"/>
      <c r="AR26" s="406"/>
      <c r="AS26" s="420" t="s">
        <v>610</v>
      </c>
      <c r="AT26" s="421" t="s">
        <v>230</v>
      </c>
      <c r="BD26" s="420" t="s">
        <v>610</v>
      </c>
      <c r="BE26" s="421" t="s">
        <v>234</v>
      </c>
      <c r="BN26" s="407"/>
    </row>
    <row r="27" ht="39.75" customHeight="1">
      <c r="A27" s="853"/>
      <c r="B27" s="853"/>
      <c r="C27" s="853"/>
      <c r="D27" s="853"/>
      <c r="E27" s="853"/>
      <c r="F27" s="853"/>
      <c r="G27" s="853"/>
      <c r="H27" s="853"/>
      <c r="I27" s="853"/>
      <c r="J27" s="853"/>
      <c r="K27" s="853"/>
      <c r="L27" s="853"/>
      <c r="M27" s="853"/>
      <c r="N27" s="853"/>
      <c r="O27" s="853"/>
      <c r="P27" s="853"/>
      <c r="Q27" s="853"/>
      <c r="R27" s="849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802"/>
      <c r="AG27" s="802"/>
      <c r="AH27" s="804"/>
      <c r="AI27" s="802"/>
      <c r="AJ27" s="802"/>
      <c r="AK27" s="802"/>
      <c r="AL27" s="821"/>
      <c r="AM27" s="821"/>
      <c r="AN27" s="802"/>
      <c r="AO27" s="407"/>
      <c r="AP27" s="407"/>
      <c r="AQ27" s="407"/>
      <c r="AR27" s="406"/>
      <c r="AS27" s="422"/>
      <c r="AT27" s="423"/>
      <c r="AU27" s="473"/>
      <c r="AV27" s="473"/>
      <c r="AW27" s="473"/>
      <c r="AX27" s="485"/>
      <c r="AY27" s="485"/>
      <c r="BD27" s="422"/>
      <c r="BE27" s="423"/>
      <c r="BF27" s="473"/>
      <c r="BG27" s="473"/>
      <c r="BH27" s="473"/>
      <c r="BI27" s="485"/>
      <c r="BJ27" s="485"/>
      <c r="BN27" s="407"/>
    </row>
    <row r="28" ht="39.75" customHeight="1">
      <c r="A28" s="853"/>
      <c r="B28" s="853"/>
      <c r="C28" s="853"/>
      <c r="D28" s="853"/>
      <c r="E28" s="853"/>
      <c r="F28" s="853"/>
      <c r="G28" s="853"/>
      <c r="H28" s="853"/>
      <c r="I28" s="853"/>
      <c r="J28" s="853"/>
      <c r="K28" s="853"/>
      <c r="L28" s="853"/>
      <c r="M28" s="853"/>
      <c r="N28" s="853"/>
      <c r="O28" s="853"/>
      <c r="P28" s="853"/>
      <c r="Q28" s="853"/>
      <c r="R28" s="849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822" t="s">
        <v>665</v>
      </c>
      <c r="AG28" s="822" t="s">
        <v>256</v>
      </c>
      <c r="AH28" s="822" t="s">
        <v>215</v>
      </c>
      <c r="AI28" s="822" t="s">
        <v>234</v>
      </c>
      <c r="AJ28" s="822" t="s">
        <v>216</v>
      </c>
      <c r="AK28" s="822" t="s">
        <v>257</v>
      </c>
      <c r="AL28" s="855" t="s">
        <v>672</v>
      </c>
      <c r="AM28" s="855"/>
      <c r="AN28" s="822" t="s">
        <v>672</v>
      </c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853"/>
      <c r="B29" s="853"/>
      <c r="C29" s="853"/>
      <c r="D29" s="853"/>
      <c r="E29" s="853"/>
      <c r="F29" s="853"/>
      <c r="G29" s="853"/>
      <c r="H29" s="853"/>
      <c r="I29" s="853"/>
      <c r="J29" s="853"/>
      <c r="K29" s="853"/>
      <c r="L29" s="853"/>
      <c r="M29" s="853"/>
      <c r="N29" s="853"/>
      <c r="O29" s="853"/>
      <c r="P29" s="853"/>
      <c r="Q29" s="853"/>
      <c r="R29" s="849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823"/>
      <c r="AG29" s="823"/>
      <c r="AH29" s="823"/>
      <c r="AI29" s="823"/>
      <c r="AJ29" s="823"/>
      <c r="AK29" s="823"/>
      <c r="AL29" s="856"/>
      <c r="AM29" s="856"/>
      <c r="AN29" s="823"/>
      <c r="AO29" s="407"/>
      <c r="AP29" s="407"/>
      <c r="AQ29" s="407"/>
      <c r="AR29" s="406"/>
      <c r="AS29" s="415" t="s">
        <v>657</v>
      </c>
      <c r="AT29" s="474" t="s">
        <v>189</v>
      </c>
      <c r="BD29" s="415" t="s">
        <v>657</v>
      </c>
      <c r="BE29" s="474" t="s">
        <v>189</v>
      </c>
      <c r="BN29" s="407"/>
    </row>
    <row r="30" ht="39.75" customHeight="1">
      <c r="A30" s="853"/>
      <c r="B30" s="853"/>
      <c r="C30" s="853"/>
      <c r="D30" s="853"/>
      <c r="E30" s="853"/>
      <c r="F30" s="853"/>
      <c r="G30" s="853"/>
      <c r="H30" s="853"/>
      <c r="I30" s="853"/>
      <c r="J30" s="853"/>
      <c r="K30" s="853"/>
      <c r="L30" s="853"/>
      <c r="M30" s="853"/>
      <c r="N30" s="853"/>
      <c r="O30" s="853"/>
      <c r="P30" s="853"/>
      <c r="Q30" s="853"/>
      <c r="R30" s="849"/>
      <c r="S30" s="432" t="s">
        <v>673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6"/>
      <c r="AJ30" s="456"/>
      <c r="AK30" s="407"/>
      <c r="AL30" s="407"/>
      <c r="AM30" s="407"/>
      <c r="AN30" s="407"/>
      <c r="AO30" s="407"/>
      <c r="AP30" s="407"/>
      <c r="AQ30" s="407"/>
      <c r="AR30" s="406"/>
      <c r="AS30" s="415" t="s">
        <v>608</v>
      </c>
      <c r="AT30" s="474" t="s">
        <v>612</v>
      </c>
      <c r="AV30" s="475"/>
      <c r="AW30" s="476"/>
      <c r="AX30" s="476"/>
      <c r="AY30" s="476"/>
      <c r="AZ30" s="476"/>
      <c r="BD30" s="415" t="s">
        <v>608</v>
      </c>
      <c r="BE30" s="474" t="s">
        <v>674</v>
      </c>
      <c r="BG30" s="475"/>
      <c r="BH30" s="476"/>
      <c r="BI30" s="476"/>
      <c r="BJ30" s="476"/>
      <c r="BK30" s="476"/>
      <c r="BN30" s="407"/>
    </row>
    <row r="31" ht="39.75" customHeight="1">
      <c r="A31" s="853"/>
      <c r="B31" s="853"/>
      <c r="C31" s="853"/>
      <c r="D31" s="853"/>
      <c r="E31" s="853"/>
      <c r="F31" s="853"/>
      <c r="G31" s="853"/>
      <c r="H31" s="853"/>
      <c r="I31" s="853"/>
      <c r="J31" s="853"/>
      <c r="K31" s="853"/>
      <c r="L31" s="853"/>
      <c r="M31" s="853"/>
      <c r="N31" s="853"/>
      <c r="O31" s="853"/>
      <c r="P31" s="853"/>
      <c r="Q31" s="853"/>
      <c r="R31" s="849"/>
      <c r="S31" s="432" t="s">
        <v>658</v>
      </c>
      <c r="U31" s="582" t="s">
        <v>612</v>
      </c>
      <c r="V31" s="405"/>
      <c r="W31" s="405"/>
      <c r="X31" s="443">
        <v>400</v>
      </c>
      <c r="Y31" s="405"/>
      <c r="Z31" s="405"/>
      <c r="AA31" s="405"/>
      <c r="AB31" s="405"/>
      <c r="AC31" s="405"/>
      <c r="AD31" s="406"/>
      <c r="AE31" s="824" t="s">
        <v>675</v>
      </c>
      <c r="AF31" s="824"/>
      <c r="AG31" s="824"/>
      <c r="AH31" s="824"/>
      <c r="AI31" s="824"/>
      <c r="AJ31" s="824"/>
      <c r="AK31" s="824"/>
      <c r="AL31" s="824"/>
      <c r="AM31" s="824"/>
      <c r="AN31" s="824"/>
      <c r="AO31" s="824"/>
      <c r="AP31" s="824"/>
      <c r="AQ31" s="407"/>
      <c r="AR31" s="406"/>
      <c r="AS31" s="428"/>
      <c r="AT31" s="429"/>
      <c r="AV31" s="476"/>
      <c r="AW31" s="476"/>
      <c r="AX31" s="476"/>
      <c r="AY31" s="476"/>
      <c r="AZ31" s="476"/>
      <c r="BA31" s="476"/>
      <c r="BD31" s="428"/>
      <c r="BE31" s="429"/>
      <c r="BG31" s="476"/>
      <c r="BH31" s="476"/>
      <c r="BI31" s="476"/>
      <c r="BJ31" s="476"/>
      <c r="BK31" s="476"/>
      <c r="BL31" s="476"/>
      <c r="BN31" s="407"/>
    </row>
    <row r="32" ht="39.75" customHeight="1">
      <c r="A32" s="853"/>
      <c r="B32" s="853"/>
      <c r="C32" s="853"/>
      <c r="D32" s="853"/>
      <c r="E32" s="853"/>
      <c r="F32" s="853"/>
      <c r="G32" s="853"/>
      <c r="H32" s="853"/>
      <c r="I32" s="853"/>
      <c r="J32" s="853"/>
      <c r="K32" s="853"/>
      <c r="L32" s="853"/>
      <c r="M32" s="853"/>
      <c r="N32" s="853"/>
      <c r="O32" s="853"/>
      <c r="P32" s="853"/>
      <c r="Q32" s="853"/>
      <c r="R32" s="849"/>
      <c r="S32" s="432" t="s">
        <v>660</v>
      </c>
      <c r="T32" s="444" t="s">
        <v>614</v>
      </c>
      <c r="U32" s="445"/>
      <c r="V32" s="445"/>
      <c r="W32" s="445"/>
      <c r="X32" s="445"/>
      <c r="Y32" s="445"/>
      <c r="Z32" s="445"/>
      <c r="AA32" s="445"/>
      <c r="AB32" s="445"/>
      <c r="AC32" s="445"/>
      <c r="AD32" s="406"/>
      <c r="AE32" s="407"/>
      <c r="AF32" s="1150" t="s">
        <v>676</v>
      </c>
      <c r="AG32" s="1151" t="s">
        <v>677</v>
      </c>
      <c r="AH32" s="1150" t="str">
        <f>IF(AF28='شماسي كانتليفر'!K10,"يمكن الاختيار بين المقاسين 2.5 او 3",IF(AF28='شماسي كانتليفر'!K11,"3*3 متر",IF(AF28='شماسي كانتليفر'!K12,"دائرية بقطر 2.7 متر",IF(AF28='شماسي كانتليفر'!K13,"مربعة 3.5 او 4 متر",IF(AF28='شماسي كانتليفر'!K14,"مربعة 3*3 او 4*4 متر","CHEAK")))))</f>
        <v>يمكن الاختيار بين المقاسين 2.5 او 3</v>
      </c>
      <c r="AI32" s="454"/>
      <c r="AJ32" s="454"/>
      <c r="AK32" s="454"/>
      <c r="AL32" s="1150" t="str">
        <f>IF(AND(AF28='شماسي كانتليفر'!K10,تسعير!AH28='شماسي و كانتليفر'!S6,تسعير!AK28='شماسي و كانتليفر'!W18,تسعير!AN28='شماسي كانتليفر'!F25),"OK",IF(AND(AF28='شماسي كانتليفر'!K10,تسعير!AH28='شماسي و كانتليفر'!S7,تسعير!AK28='شماسي و كانتليفر'!W18,تسعير!AN28='شماسي كانتليفر'!F25),"OK",IF(AND(AF28='شماسي كانتليفر'!K11,تسعير!AH28='شماسي و كانتليفر'!S3,تسعير!AK28='شماسي و كانتليفر'!W18,تسعير!AN28='شماسي كانتليفر'!F25),"OK",IF(AND(AF28='شماسي كانتليفر'!K12,تسعير!AH28='شماسي و كانتليفر'!S8,تسعير!AK28='شماسي و كانتليفر'!W19),"OK",IF(AND(AF28='شماسي كانتليفر'!K12,تسعير!AH28='شماسي و كانتليفر'!S8,تسعير!AK28='شماسي و كانتليفر'!W21),"OK",IF(AND(AF28='شماسي كانتليفر'!K13,تسعير!AH28='شماسي و كانتليفر'!S5,تسعير!AK28="NO",تسعير!AN28='شماسي كانتليفر'!F25),"OK",IF(AND(AF28='شماسي كانتليفر'!K13,تسعير!AH28='شماسي و كانتليفر'!S4,تسعير!AK28='شماسي و كانتليفر'!W18,تسعير!AN28='شماسي كانتليفر'!F25),"OK",IF(AND(AF28='شماسي كانتليفر'!K14,تسعير!AH28='شماسي و كانتليفر'!S4),"OK",IF(AND(AF28='شماسي كانتليفر'!K14,تسعير!AH28='شماسي و كانتليفر'!S3),"OK","CHEAK NOTES ")))))))))</f>
        <v>CHEAK NOTES </v>
      </c>
      <c r="AM32" s="454"/>
      <c r="AN32" s="454"/>
      <c r="AO32" s="454"/>
      <c r="AP32" s="454"/>
      <c r="AQ32" s="407"/>
      <c r="AR32" s="406"/>
      <c r="AS32" s="430" t="s">
        <v>660</v>
      </c>
      <c r="AT32" s="426" t="s">
        <v>614</v>
      </c>
      <c r="BA32" s="475"/>
      <c r="BD32" s="430" t="s">
        <v>660</v>
      </c>
      <c r="BE32" s="426" t="s">
        <v>617</v>
      </c>
      <c r="BL32" s="475"/>
      <c r="BN32" s="407"/>
    </row>
    <row r="33" ht="39.75" customHeight="1">
      <c r="A33" s="853"/>
      <c r="B33" s="853"/>
      <c r="C33" s="853"/>
      <c r="D33" s="853"/>
      <c r="E33" s="853"/>
      <c r="F33" s="853"/>
      <c r="G33" s="853"/>
      <c r="H33" s="853"/>
      <c r="I33" s="853"/>
      <c r="J33" s="853"/>
      <c r="K33" s="853"/>
      <c r="L33" s="853"/>
      <c r="M33" s="853"/>
      <c r="N33" s="853"/>
      <c r="O33" s="853"/>
      <c r="P33" s="853"/>
      <c r="Q33" s="853"/>
      <c r="R33" s="849"/>
      <c r="S33" s="432" t="s">
        <v>661</v>
      </c>
      <c r="T33" s="446"/>
      <c r="U33" s="445"/>
      <c r="V33" s="858"/>
      <c r="W33" s="858"/>
      <c r="X33" s="447"/>
      <c r="Y33" s="445"/>
      <c r="Z33" s="445"/>
      <c r="AA33" s="444">
        <v>400</v>
      </c>
      <c r="AB33" s="445"/>
      <c r="AC33" s="445"/>
      <c r="AD33" s="1131"/>
      <c r="AE33" s="1132"/>
      <c r="AF33" s="1150" t="s">
        <v>678</v>
      </c>
      <c r="AG33" s="1151" t="s">
        <v>679</v>
      </c>
      <c r="AH33" s="1150" t="str">
        <f>IF(AF28='شماسي كانتليفر'!K10,"لايوجد فرنتونات متاحة لهاذا المنتج",IF(AF28='شماسي كانتليفر'!K11,"لايوجد فرنتونات متاحة لهاذا المنتج",IF(AF28='شماسي كانتليفر'!K12,"يمكن الاختيار مابين فرنتونة سنجل باللوجو او فرنتونة سنجل ",IF(AF28='شماسي كانتليفر'!K13,"لايوجد فرنتونات متاحة لهاذا المنتج",IF(AF28='شماسي كانتليفر'!K14,"يمكن الاختيار مابين كل الانواع الموجودة بالقائمة","CHEAK")))))</f>
        <v>لايوجد فرنتونات متاحة لهاذا المنتج</v>
      </c>
      <c r="AI33" s="1133"/>
      <c r="AJ33" s="1133"/>
      <c r="AK33" s="1131"/>
      <c r="AL33" s="1131"/>
      <c r="AM33" s="1131"/>
      <c r="AN33" s="1131"/>
      <c r="AO33" s="1131"/>
      <c r="AP33" s="1131"/>
      <c r="AQ33" s="1131"/>
      <c r="AR33" s="1131"/>
      <c r="AS33" s="422" t="s">
        <v>661</v>
      </c>
      <c r="AT33" s="430">
        <v>400</v>
      </c>
      <c r="BA33" s="0" t="s">
        <v>663</v>
      </c>
      <c r="BD33" s="430" t="s">
        <v>661</v>
      </c>
      <c r="BE33" s="430">
        <v>400</v>
      </c>
      <c r="BL33" s="0" t="s">
        <v>663</v>
      </c>
      <c r="BN33" s="407"/>
    </row>
    <row r="34" ht="40.5" customHeight="1">
      <c r="A34" s="853"/>
      <c r="B34" s="853"/>
      <c r="C34" s="853"/>
      <c r="D34" s="853"/>
      <c r="E34" s="853"/>
      <c r="F34" s="853"/>
      <c r="G34" s="853"/>
      <c r="H34" s="853"/>
      <c r="I34" s="853"/>
      <c r="J34" s="853"/>
      <c r="K34" s="853"/>
      <c r="L34" s="853"/>
      <c r="M34" s="853"/>
      <c r="N34" s="853"/>
      <c r="O34" s="853"/>
      <c r="P34" s="853"/>
      <c r="Q34" s="853"/>
      <c r="R34" s="849"/>
      <c r="S34" s="432" t="s">
        <v>664</v>
      </c>
      <c r="T34" s="446"/>
      <c r="U34" s="445"/>
      <c r="V34" s="445"/>
      <c r="W34" s="445"/>
      <c r="X34" s="447"/>
      <c r="Y34" s="445"/>
      <c r="Z34" s="445"/>
      <c r="AA34" s="445"/>
      <c r="AB34" s="445"/>
      <c r="AC34" s="445"/>
      <c r="AD34" s="1131"/>
      <c r="AE34" s="1132"/>
      <c r="AF34" s="1150" t="s">
        <v>680</v>
      </c>
      <c r="AG34" s="1151" t="s">
        <v>681</v>
      </c>
      <c r="AH34" s="1150" t="str">
        <f>IF(AF28='شماسي كانتليفر'!K10,"قاعدة متحركة",IF(AF28='شماسي كانتليفر'!K11,"قاعدة متحركة",IF(AF28='شماسي كانتليفر'!K12,"يمكن الاختيار مابين القاعدة المتحركة او الثابتة بالرمال",IF(AF28='شماسي كانتليفر'!K13,"قاعدة متحركة",IF(AF28='شماسي كانتليفر'!K14,"قاعدة متحركة","CHEAK")))))</f>
        <v>قاعدة متحركة</v>
      </c>
      <c r="AI34" s="1134"/>
      <c r="AJ34" s="1134"/>
      <c r="AK34" s="1134"/>
      <c r="AL34" s="1131"/>
      <c r="AM34" s="1131"/>
      <c r="AN34" s="1131"/>
      <c r="AO34" s="1131"/>
      <c r="AP34" s="1131"/>
      <c r="AQ34" s="1131"/>
      <c r="AR34" s="1131"/>
      <c r="AS34" s="422" t="s">
        <v>664</v>
      </c>
      <c r="AT34" s="430">
        <v>500</v>
      </c>
      <c r="AU34" s="477"/>
      <c r="AZ34" s="839"/>
      <c r="BA34" s="839"/>
      <c r="BB34" s="839"/>
      <c r="BD34" s="430" t="s">
        <v>664</v>
      </c>
      <c r="BE34" s="430">
        <v>500</v>
      </c>
      <c r="BF34" s="477"/>
      <c r="BK34" s="839"/>
      <c r="BL34" s="839"/>
      <c r="BM34" s="839"/>
      <c r="BN34" s="407"/>
    </row>
    <row r="35" ht="41.25" customHeight="1">
      <c r="A35" s="853"/>
      <c r="B35" s="853"/>
      <c r="C35" s="853"/>
      <c r="D35" s="853"/>
      <c r="E35" s="853"/>
      <c r="F35" s="853"/>
      <c r="G35" s="853"/>
      <c r="H35" s="853"/>
      <c r="I35" s="853"/>
      <c r="J35" s="853"/>
      <c r="K35" s="853"/>
      <c r="L35" s="853"/>
      <c r="M35" s="853"/>
      <c r="N35" s="853"/>
      <c r="O35" s="853"/>
      <c r="P35" s="853"/>
      <c r="Q35" s="853"/>
      <c r="R35" s="849"/>
      <c r="S35" s="407"/>
      <c r="T35" s="407"/>
      <c r="U35" s="445"/>
      <c r="V35" s="448"/>
      <c r="W35" s="448"/>
      <c r="X35" s="448"/>
      <c r="Y35" s="445"/>
      <c r="Z35" s="445"/>
      <c r="AA35" s="445"/>
      <c r="AB35" s="445"/>
      <c r="AC35" s="445"/>
      <c r="AD35" s="1131"/>
      <c r="AE35" s="1132"/>
      <c r="AF35" s="1150" t="s">
        <v>682</v>
      </c>
      <c r="AG35" s="1151"/>
      <c r="AH35" s="1135"/>
      <c r="AI35" s="1134"/>
      <c r="AJ35" s="1134"/>
      <c r="AK35" s="1134"/>
      <c r="AL35" s="1131"/>
      <c r="AM35" s="1131"/>
      <c r="AN35" s="1131"/>
      <c r="AO35" s="1131"/>
      <c r="AP35" s="1131"/>
      <c r="AQ35" s="1131"/>
      <c r="AR35" s="1131"/>
      <c r="AS35" s="407"/>
      <c r="AT35" s="407"/>
      <c r="BD35" s="407"/>
      <c r="BE35" s="407"/>
      <c r="BN35" s="407"/>
    </row>
    <row r="36" ht="41.25" customHeight="1">
      <c r="A36" s="853"/>
      <c r="B36" s="853"/>
      <c r="C36" s="853"/>
      <c r="D36" s="853"/>
      <c r="E36" s="853"/>
      <c r="F36" s="853"/>
      <c r="G36" s="853"/>
      <c r="H36" s="853"/>
      <c r="I36" s="853"/>
      <c r="J36" s="853"/>
      <c r="K36" s="853"/>
      <c r="L36" s="853"/>
      <c r="M36" s="853"/>
      <c r="N36" s="853"/>
      <c r="O36" s="853"/>
      <c r="P36" s="853"/>
      <c r="Q36" s="853"/>
      <c r="R36" s="849"/>
      <c r="S36" s="407"/>
      <c r="T36" s="407"/>
      <c r="U36" s="445"/>
      <c r="V36" s="445"/>
      <c r="W36" s="445"/>
      <c r="X36" s="445"/>
      <c r="Y36" s="445"/>
      <c r="Z36" s="445"/>
      <c r="AA36" s="445"/>
      <c r="AB36" s="445"/>
      <c r="AC36" s="455" t="s">
        <v>683</v>
      </c>
      <c r="AD36" s="1131"/>
      <c r="AE36" s="1136"/>
      <c r="AF36" s="1136"/>
      <c r="AG36" s="1137"/>
      <c r="AH36" s="1138"/>
      <c r="AI36" s="1137"/>
      <c r="AJ36" s="1137"/>
      <c r="AK36" s="1137"/>
      <c r="AL36" s="1137"/>
      <c r="AM36" s="1139"/>
      <c r="AN36" s="1131"/>
      <c r="AO36" s="1131"/>
      <c r="AP36" s="1131"/>
      <c r="AQ36" s="1131"/>
      <c r="AR36" s="1131"/>
      <c r="AS36" s="407"/>
      <c r="AT36" s="407"/>
      <c r="BA36" s="484">
        <f>AT33</f>
        <v>400</v>
      </c>
      <c r="BD36" s="407"/>
      <c r="BE36" s="407"/>
      <c r="BN36" s="407"/>
    </row>
    <row r="37" ht="41.25" customHeight="1">
      <c r="A37" s="853"/>
      <c r="B37" s="853"/>
      <c r="C37" s="853"/>
      <c r="D37" s="853"/>
      <c r="E37" s="853"/>
      <c r="F37" s="853"/>
      <c r="G37" s="853"/>
      <c r="H37" s="853"/>
      <c r="I37" s="853"/>
      <c r="J37" s="853"/>
      <c r="K37" s="853"/>
      <c r="L37" s="853"/>
      <c r="M37" s="853"/>
      <c r="N37" s="853"/>
      <c r="O37" s="853"/>
      <c r="P37" s="853"/>
      <c r="Q37" s="853"/>
      <c r="R37" s="849"/>
      <c r="S37" s="407"/>
      <c r="T37" s="407"/>
      <c r="U37" s="857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857"/>
      <c r="W37" s="857"/>
      <c r="X37" s="857"/>
      <c r="Y37" s="857"/>
      <c r="Z37" s="857"/>
      <c r="AA37" s="857"/>
      <c r="AB37" s="857"/>
      <c r="AC37" s="857"/>
      <c r="AD37" s="1131"/>
      <c r="AE37" s="1131"/>
      <c r="AF37" s="1131"/>
      <c r="AG37" s="1137"/>
      <c r="AH37" s="1138"/>
      <c r="AI37" s="1137"/>
      <c r="AJ37" s="1137"/>
      <c r="AK37" s="1137"/>
      <c r="AL37" s="1137"/>
      <c r="AM37" s="1139"/>
      <c r="AN37" s="1131"/>
      <c r="AO37" s="1131"/>
      <c r="AP37" s="1131"/>
      <c r="AQ37" s="1131"/>
      <c r="AR37" s="1131"/>
      <c r="AS37" s="1129">
        <f>('بيرسا و لوفرز'!F24+'بيرسا و لوفرز'!V55+'بيرسا و لوفرز'!V63)*1.35</f>
        <v>250129.62000000002</v>
      </c>
      <c r="AT37" s="843"/>
      <c r="BD37" s="842">
        <f>('بيرسا و لوفرز'!F97+'بيرسا و لوفرز'!V126+'بيرسا و لوفرز'!V134)*1.35</f>
        <v>228605.22000000003</v>
      </c>
      <c r="BE37" s="843"/>
      <c r="BN37" s="407"/>
    </row>
    <row r="38" ht="41.25" customHeight="1">
      <c r="A38" s="854"/>
      <c r="B38" s="854"/>
      <c r="C38" s="854"/>
      <c r="D38" s="854"/>
      <c r="E38" s="854"/>
      <c r="F38" s="854"/>
      <c r="G38" s="854"/>
      <c r="H38" s="854"/>
      <c r="I38" s="854"/>
      <c r="J38" s="854"/>
      <c r="K38" s="854"/>
      <c r="L38" s="854"/>
      <c r="M38" s="854"/>
      <c r="N38" s="854"/>
      <c r="O38" s="854"/>
      <c r="P38" s="854"/>
      <c r="Q38" s="854"/>
      <c r="R38" s="849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1131"/>
      <c r="AE38" s="1131"/>
      <c r="AF38" s="1131"/>
      <c r="AG38" s="1140"/>
      <c r="AH38" s="1140"/>
      <c r="AI38" s="1140"/>
      <c r="AJ38" s="1140"/>
      <c r="AK38" s="1141"/>
      <c r="AL38" s="1140"/>
      <c r="AM38" s="1142"/>
      <c r="AN38" s="1131"/>
      <c r="AO38" s="1131"/>
      <c r="AP38" s="1131"/>
      <c r="AQ38" s="1131"/>
      <c r="AR38" s="1131"/>
      <c r="AS38" s="1129">
        <f>AS37/(AT34*AT33/10000)</f>
        <v>12506.481000000002</v>
      </c>
      <c r="AT38" s="843"/>
      <c r="BD38" s="842">
        <f>BD37/(BE33*BE34/10000)</f>
        <v>11430.261000000002</v>
      </c>
      <c r="BE38" s="843"/>
      <c r="BK38" s="484">
        <f>BE33</f>
        <v>400</v>
      </c>
      <c r="BN38" s="407"/>
    </row>
    <row r="39" ht="41.25" customHeight="1">
      <c r="A39" s="854"/>
      <c r="B39" s="854"/>
      <c r="C39" s="854"/>
      <c r="D39" s="854"/>
      <c r="E39" s="854"/>
      <c r="F39" s="854"/>
      <c r="G39" s="854"/>
      <c r="H39" s="854"/>
      <c r="I39" s="854"/>
      <c r="J39" s="854"/>
      <c r="K39" s="854"/>
      <c r="L39" s="854"/>
      <c r="M39" s="854"/>
      <c r="N39" s="854"/>
      <c r="O39" s="854"/>
      <c r="P39" s="854"/>
      <c r="Q39" s="854"/>
      <c r="R39" s="849"/>
      <c r="S39" s="854"/>
      <c r="T39" s="854"/>
      <c r="U39" s="854"/>
      <c r="V39" s="854"/>
      <c r="W39" s="854"/>
      <c r="X39" s="854"/>
      <c r="Y39" s="854"/>
      <c r="Z39" s="854"/>
      <c r="AA39" s="854"/>
      <c r="AB39" s="854"/>
      <c r="AC39" s="854"/>
      <c r="AD39" s="1131"/>
      <c r="AE39" s="1131"/>
      <c r="AF39" s="1131"/>
      <c r="AG39" s="1140"/>
      <c r="AH39" s="1140"/>
      <c r="AI39" s="1140"/>
      <c r="AJ39" s="1140"/>
      <c r="AK39" s="1141"/>
      <c r="AL39" s="1140"/>
      <c r="AM39" s="1142"/>
      <c r="AN39" s="1131"/>
      <c r="AO39" s="1131"/>
      <c r="AP39" s="1131"/>
      <c r="AQ39" s="1131"/>
      <c r="AR39" s="1131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854"/>
      <c r="B40" s="854"/>
      <c r="C40" s="854"/>
      <c r="D40" s="854"/>
      <c r="E40" s="854"/>
      <c r="F40" s="854"/>
      <c r="G40" s="854"/>
      <c r="H40" s="854"/>
      <c r="I40" s="854"/>
      <c r="J40" s="854"/>
      <c r="K40" s="854"/>
      <c r="L40" s="854"/>
      <c r="M40" s="854"/>
      <c r="N40" s="854"/>
      <c r="O40" s="854"/>
      <c r="P40" s="854"/>
      <c r="Q40" s="854"/>
      <c r="R40" s="849"/>
      <c r="S40" s="854"/>
      <c r="T40" s="854"/>
      <c r="U40" s="854"/>
      <c r="V40" s="854"/>
      <c r="W40" s="854"/>
      <c r="X40" s="854"/>
      <c r="Y40" s="854"/>
      <c r="Z40" s="854"/>
      <c r="AA40" s="854"/>
      <c r="AB40" s="854"/>
      <c r="AC40" s="854"/>
      <c r="AD40" s="1131"/>
      <c r="AE40" s="1131"/>
      <c r="AF40" s="1131"/>
      <c r="AG40" s="1136"/>
      <c r="AH40" s="1136"/>
      <c r="AI40" s="1143"/>
      <c r="AJ40" s="1143"/>
      <c r="AK40" s="1136"/>
      <c r="AL40" s="1131"/>
      <c r="AM40" s="1131"/>
      <c r="AN40" s="1131"/>
      <c r="AO40" s="1131"/>
      <c r="AP40" s="1131"/>
      <c r="AQ40" s="1131"/>
      <c r="AR40" s="1131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854"/>
      <c r="B41" s="854"/>
      <c r="C41" s="854"/>
      <c r="D41" s="854"/>
      <c r="E41" s="854"/>
      <c r="F41" s="854"/>
      <c r="G41" s="854"/>
      <c r="H41" s="854"/>
      <c r="I41" s="854"/>
      <c r="J41" s="854"/>
      <c r="K41" s="854"/>
      <c r="L41" s="854"/>
      <c r="M41" s="854"/>
      <c r="N41" s="854"/>
      <c r="O41" s="854"/>
      <c r="P41" s="854"/>
      <c r="Q41" s="854"/>
      <c r="R41" s="849"/>
      <c r="S41" s="854"/>
      <c r="T41" s="854"/>
      <c r="U41" s="854"/>
      <c r="V41" s="854"/>
      <c r="W41" s="854"/>
      <c r="X41" s="854"/>
      <c r="Y41" s="854"/>
      <c r="Z41" s="854"/>
      <c r="AA41" s="854"/>
      <c r="AB41" s="854"/>
      <c r="AC41" s="854"/>
      <c r="AD41" s="1131"/>
      <c r="AE41" s="1144"/>
      <c r="AF41" s="1144"/>
      <c r="AG41" s="1144"/>
      <c r="AH41" s="1144"/>
      <c r="AI41" s="1144"/>
      <c r="AJ41" s="1144"/>
      <c r="AK41" s="1144"/>
      <c r="AL41" s="1144"/>
      <c r="AM41" s="1144"/>
      <c r="AN41" s="1144"/>
      <c r="AO41" s="1144"/>
      <c r="AP41" s="1144"/>
      <c r="AQ41" s="1131"/>
      <c r="AR41" s="1131"/>
      <c r="AS41" s="844" t="s">
        <v>684</v>
      </c>
      <c r="AT41" s="844"/>
      <c r="AU41" s="844"/>
      <c r="AW41" s="476"/>
      <c r="BD41" s="408" t="s">
        <v>685</v>
      </c>
      <c r="BE41" s="408"/>
      <c r="BF41" s="408"/>
      <c r="BH41" s="476"/>
      <c r="BN41" s="407"/>
    </row>
    <row r="42" ht="42" customHeight="1">
      <c r="A42" s="854"/>
      <c r="B42" s="854"/>
      <c r="C42" s="854"/>
      <c r="D42" s="854"/>
      <c r="E42" s="854"/>
      <c r="F42" s="854"/>
      <c r="G42" s="854"/>
      <c r="H42" s="854"/>
      <c r="I42" s="854"/>
      <c r="J42" s="854"/>
      <c r="K42" s="854"/>
      <c r="L42" s="854"/>
      <c r="M42" s="854"/>
      <c r="N42" s="854"/>
      <c r="O42" s="854"/>
      <c r="P42" s="854"/>
      <c r="Q42" s="854"/>
      <c r="R42" s="849"/>
      <c r="S42" s="847" t="s">
        <v>686</v>
      </c>
      <c r="T42" s="848"/>
      <c r="U42" s="449"/>
      <c r="V42" s="449"/>
      <c r="W42" s="449"/>
      <c r="X42" s="449"/>
      <c r="Y42" s="449"/>
      <c r="Z42" s="449"/>
      <c r="AA42" s="449"/>
      <c r="AB42" s="449"/>
      <c r="AC42" s="449"/>
      <c r="AD42" s="1131"/>
      <c r="AE42" s="1131"/>
      <c r="AF42" s="1144"/>
      <c r="AG42" s="1144"/>
      <c r="AH42" s="1144"/>
      <c r="AI42" s="1144"/>
      <c r="AJ42" s="1144"/>
      <c r="AK42" s="1144"/>
      <c r="AL42" s="1144"/>
      <c r="AM42" s="1144"/>
      <c r="AN42" s="1144"/>
      <c r="AO42" s="1144"/>
      <c r="AP42" s="1144"/>
      <c r="AQ42" s="1131"/>
      <c r="AR42" s="1131"/>
      <c r="AS42" s="1130" t="s">
        <v>649</v>
      </c>
      <c r="AT42" s="464">
        <f>'بيرسا و لوفرز'!BM68</f>
        <v>237013.62099999999</v>
      </c>
      <c r="AU42" s="471"/>
      <c r="BD42" s="463" t="s">
        <v>649</v>
      </c>
      <c r="BE42" s="464">
        <f>'بيرسا و لوفرز'!BM139</f>
        <v>242818.98766666665</v>
      </c>
      <c r="BF42" s="471"/>
      <c r="BN42" s="407"/>
    </row>
    <row r="43" ht="42" customHeight="1">
      <c r="A43" s="853" t="s">
        <v>687</v>
      </c>
      <c r="B43" s="853"/>
      <c r="C43" s="853"/>
      <c r="D43" s="853"/>
      <c r="E43" s="853"/>
      <c r="F43" s="853"/>
      <c r="G43" s="853"/>
      <c r="H43" s="853"/>
      <c r="I43" s="853"/>
      <c r="J43" s="853"/>
      <c r="K43" s="853"/>
      <c r="L43" s="853"/>
      <c r="M43" s="853"/>
      <c r="N43" s="853"/>
      <c r="O43" s="853"/>
      <c r="P43" s="853"/>
      <c r="Q43" s="853"/>
      <c r="R43" s="849"/>
      <c r="S43" s="434" t="s">
        <v>649</v>
      </c>
      <c r="T43" s="435">
        <f>'شماسي و كانتليفر'!N51</f>
        <v>103207</v>
      </c>
      <c r="U43" s="449"/>
      <c r="V43" s="449"/>
      <c r="W43" s="449"/>
      <c r="X43" s="449"/>
      <c r="Y43" s="449"/>
      <c r="Z43" s="449"/>
      <c r="AA43" s="449"/>
      <c r="AB43" s="449"/>
      <c r="AC43" s="449"/>
      <c r="AD43" s="626"/>
      <c r="AE43" s="626"/>
      <c r="AF43" s="626"/>
      <c r="AG43" s="626"/>
      <c r="AH43" s="626"/>
      <c r="AI43" s="626"/>
      <c r="AJ43" s="626"/>
      <c r="AK43" s="626"/>
      <c r="AL43" s="626"/>
      <c r="AM43" s="626"/>
      <c r="AN43" s="626"/>
      <c r="AO43" s="626"/>
      <c r="AP43" s="626"/>
      <c r="AQ43" s="626"/>
      <c r="AR43" s="626"/>
      <c r="AS43" s="463" t="s">
        <v>127</v>
      </c>
      <c r="AT43" s="465">
        <f>AT42/(AT53*AT54/10000)</f>
        <v>11850.68105</v>
      </c>
      <c r="AU43" s="471"/>
      <c r="AV43" s="472"/>
      <c r="BD43" s="463" t="s">
        <v>127</v>
      </c>
      <c r="BE43" s="465">
        <f>BE42/(BE53*BE54/10000)</f>
        <v>12140.949383333333</v>
      </c>
      <c r="BF43" s="471"/>
      <c r="BG43" s="472"/>
      <c r="BN43" s="407"/>
    </row>
    <row r="44" ht="42" customHeight="1">
      <c r="A44" s="853"/>
      <c r="B44" s="853"/>
      <c r="C44" s="853"/>
      <c r="D44" s="853"/>
      <c r="E44" s="853"/>
      <c r="F44" s="853"/>
      <c r="G44" s="853"/>
      <c r="H44" s="853"/>
      <c r="I44" s="853"/>
      <c r="J44" s="853"/>
      <c r="K44" s="853"/>
      <c r="L44" s="853"/>
      <c r="M44" s="853"/>
      <c r="N44" s="853"/>
      <c r="O44" s="853"/>
      <c r="P44" s="853"/>
      <c r="Q44" s="853"/>
      <c r="R44" s="849"/>
      <c r="S44" s="436" t="s">
        <v>127</v>
      </c>
      <c r="T44" s="435">
        <f>T43/T51</f>
        <v>4128.28</v>
      </c>
      <c r="U44" s="449"/>
      <c r="V44" s="449"/>
      <c r="W44" s="449"/>
      <c r="X44" s="449"/>
      <c r="Y44" s="852"/>
      <c r="Z44" s="852"/>
      <c r="AA44" s="449"/>
      <c r="AB44" s="449"/>
      <c r="AC44" s="449"/>
      <c r="AD44" s="626"/>
      <c r="AE44" s="625"/>
      <c r="AF44" s="626"/>
      <c r="AG44" s="626"/>
      <c r="AH44" s="627"/>
      <c r="AI44" s="626"/>
      <c r="AJ44" s="626"/>
      <c r="AK44" s="626"/>
      <c r="AL44" s="626"/>
      <c r="AM44" s="626"/>
      <c r="AN44" s="626"/>
      <c r="AO44" s="626"/>
      <c r="AP44" s="626"/>
      <c r="AQ44" s="626"/>
      <c r="AR44" s="626"/>
      <c r="AS44" s="418" t="s">
        <v>650</v>
      </c>
      <c r="AT44" s="416" t="s">
        <v>44</v>
      </c>
      <c r="BD44" s="418" t="s">
        <v>650</v>
      </c>
      <c r="BE44" s="416" t="s">
        <v>44</v>
      </c>
      <c r="BN44" s="407"/>
    </row>
    <row r="45" ht="42" customHeight="1">
      <c r="A45" s="853"/>
      <c r="B45" s="853"/>
      <c r="C45" s="853"/>
      <c r="D45" s="853"/>
      <c r="E45" s="853"/>
      <c r="F45" s="853"/>
      <c r="G45" s="853"/>
      <c r="H45" s="853"/>
      <c r="I45" s="853"/>
      <c r="J45" s="853"/>
      <c r="K45" s="853"/>
      <c r="L45" s="853"/>
      <c r="M45" s="853"/>
      <c r="N45" s="853"/>
      <c r="O45" s="853"/>
      <c r="P45" s="853"/>
      <c r="Q45" s="853"/>
      <c r="R45" s="849"/>
      <c r="S45" s="432" t="s">
        <v>650</v>
      </c>
      <c r="T45" s="433" t="s">
        <v>21</v>
      </c>
      <c r="U45" s="449"/>
      <c r="V45" s="449"/>
      <c r="W45" s="449"/>
      <c r="X45" s="449"/>
      <c r="Y45" s="852"/>
      <c r="Z45" s="852"/>
      <c r="AA45" s="449"/>
      <c r="AB45" s="449"/>
      <c r="AC45" s="449"/>
      <c r="AD45" s="626"/>
      <c r="AE45" s="454"/>
      <c r="AF45" s="859" t="s">
        <v>688</v>
      </c>
      <c r="AG45" s="859"/>
      <c r="AH45" s="785" t="s">
        <v>441</v>
      </c>
      <c r="AI45" s="785" t="s">
        <v>125</v>
      </c>
      <c r="AJ45" s="785" t="s">
        <v>126</v>
      </c>
      <c r="AK45" s="785" t="s">
        <v>442</v>
      </c>
      <c r="AL45" s="785" t="s">
        <v>689</v>
      </c>
      <c r="AM45" s="786" t="s">
        <v>444</v>
      </c>
      <c r="AN45" s="786" t="s">
        <v>127</v>
      </c>
      <c r="AO45" s="454"/>
      <c r="AP45" s="454"/>
      <c r="AQ45" s="454"/>
      <c r="AR45" s="626"/>
      <c r="AS45" s="418" t="s">
        <v>609</v>
      </c>
      <c r="AT45" s="419" t="s">
        <v>613</v>
      </c>
      <c r="AZ45" s="484">
        <f>AT53</f>
        <v>500</v>
      </c>
      <c r="BD45" s="418" t="s">
        <v>609</v>
      </c>
      <c r="BE45" s="419" t="s">
        <v>613</v>
      </c>
      <c r="BN45" s="407"/>
    </row>
    <row r="46" ht="42" customHeight="1">
      <c r="A46" s="853"/>
      <c r="B46" s="853"/>
      <c r="C46" s="853"/>
      <c r="D46" s="853"/>
      <c r="E46" s="853"/>
      <c r="F46" s="853"/>
      <c r="G46" s="853"/>
      <c r="H46" s="853"/>
      <c r="I46" s="853"/>
      <c r="J46" s="853"/>
      <c r="K46" s="853"/>
      <c r="L46" s="853"/>
      <c r="M46" s="853"/>
      <c r="N46" s="853"/>
      <c r="O46" s="853"/>
      <c r="P46" s="853"/>
      <c r="Q46" s="853"/>
      <c r="R46" s="849"/>
      <c r="S46" s="437" t="s">
        <v>609</v>
      </c>
      <c r="T46" s="438" t="s">
        <v>616</v>
      </c>
      <c r="U46" s="449"/>
      <c r="V46" s="449"/>
      <c r="W46" s="449"/>
      <c r="X46" s="449"/>
      <c r="Y46" s="852"/>
      <c r="Z46" s="852"/>
      <c r="AA46" s="449"/>
      <c r="AB46" s="449"/>
      <c r="AC46" s="449"/>
      <c r="AD46" s="626"/>
      <c r="AE46" s="454"/>
      <c r="AF46" s="859"/>
      <c r="AG46" s="859"/>
      <c r="AH46" s="787" t="s">
        <v>462</v>
      </c>
      <c r="AI46" s="787">
        <v>350</v>
      </c>
      <c r="AJ46" s="787">
        <v>400</v>
      </c>
      <c r="AK46" s="787" t="s">
        <v>234</v>
      </c>
      <c r="AL46" s="787" t="s">
        <v>234</v>
      </c>
      <c r="AM46" s="788">
        <f>'PERG. CS.'!G3</f>
        <v>87893.134375000009</v>
      </c>
      <c r="AN46" s="788">
        <f>AM46/(Table115[[#This Row],[العرض]]*Table115[[#This Row],[الامتداد]]/10000)</f>
        <v>6278.081026785715</v>
      </c>
      <c r="AO46" s="806" t="s">
        <v>662</v>
      </c>
      <c r="AP46" s="806"/>
      <c r="AQ46" s="454"/>
      <c r="AR46" s="626"/>
      <c r="AS46" s="420" t="s">
        <v>610</v>
      </c>
      <c r="AT46" s="421" t="s">
        <v>230</v>
      </c>
      <c r="AX46" s="484">
        <f>AT54</f>
        <v>400</v>
      </c>
      <c r="BD46" s="420" t="s">
        <v>610</v>
      </c>
      <c r="BE46" s="421" t="s">
        <v>230</v>
      </c>
      <c r="BI46" s="484">
        <f>BE54</f>
        <v>400</v>
      </c>
      <c r="BM46" s="484">
        <f>BE53</f>
        <v>500</v>
      </c>
      <c r="BN46" s="407"/>
    </row>
    <row r="47" ht="42" customHeight="1">
      <c r="A47" s="853"/>
      <c r="B47" s="853"/>
      <c r="C47" s="853"/>
      <c r="D47" s="853"/>
      <c r="E47" s="853"/>
      <c r="F47" s="853"/>
      <c r="G47" s="853"/>
      <c r="H47" s="853"/>
      <c r="I47" s="853"/>
      <c r="J47" s="853"/>
      <c r="K47" s="853"/>
      <c r="L47" s="853"/>
      <c r="M47" s="853"/>
      <c r="N47" s="853"/>
      <c r="O47" s="853"/>
      <c r="P47" s="853"/>
      <c r="Q47" s="853"/>
      <c r="R47" s="849"/>
      <c r="S47" s="432" t="s">
        <v>690</v>
      </c>
      <c r="T47" s="439">
        <f>ROUNDUP(T54/500,0)</f>
        <v>1</v>
      </c>
      <c r="U47" s="449"/>
      <c r="V47" s="449"/>
      <c r="W47" s="449"/>
      <c r="X47" s="449"/>
      <c r="Y47" s="449"/>
      <c r="Z47" s="449"/>
      <c r="AA47" s="449"/>
      <c r="AB47" s="449"/>
      <c r="AC47" s="449"/>
      <c r="AD47" s="626"/>
      <c r="AE47" s="454"/>
      <c r="AF47" s="859"/>
      <c r="AG47" s="859"/>
      <c r="AO47" s="806"/>
      <c r="AP47" s="806"/>
      <c r="AQ47" s="454"/>
      <c r="AR47" s="626"/>
      <c r="AS47" s="422"/>
      <c r="AT47" s="423"/>
      <c r="AU47" s="473"/>
      <c r="AV47" s="473"/>
      <c r="AW47" s="473"/>
      <c r="AX47" s="485"/>
      <c r="AY47" s="485"/>
      <c r="BD47" s="422"/>
      <c r="BE47" s="423"/>
      <c r="BF47" s="473"/>
      <c r="BG47" s="473"/>
      <c r="BH47" s="473"/>
      <c r="BI47" s="485"/>
      <c r="BJ47" s="485"/>
      <c r="BN47" s="407"/>
    </row>
    <row r="48" ht="42" customHeight="1">
      <c r="A48" s="853"/>
      <c r="B48" s="853"/>
      <c r="C48" s="853"/>
      <c r="D48" s="853"/>
      <c r="E48" s="853"/>
      <c r="F48" s="853"/>
      <c r="G48" s="853"/>
      <c r="H48" s="853"/>
      <c r="I48" s="853"/>
      <c r="J48" s="853"/>
      <c r="K48" s="853"/>
      <c r="L48" s="853"/>
      <c r="M48" s="853"/>
      <c r="N48" s="853"/>
      <c r="O48" s="853"/>
      <c r="P48" s="853"/>
      <c r="Q48" s="853"/>
      <c r="R48" s="849"/>
      <c r="S48" s="440"/>
      <c r="T48" s="441"/>
      <c r="U48" s="449"/>
      <c r="V48" s="449"/>
      <c r="W48" s="449"/>
      <c r="X48" s="449"/>
      <c r="Y48" s="449"/>
      <c r="Z48" s="449"/>
      <c r="AA48" s="449"/>
      <c r="AB48" s="449"/>
      <c r="AC48" s="449"/>
      <c r="AD48" s="626"/>
      <c r="AE48" s="454"/>
      <c r="AF48" s="454"/>
      <c r="AG48" s="789" t="s">
        <v>691</v>
      </c>
      <c r="AH48" s="808" t="str">
        <f>IF(Table115[المنتج]='PERG. CS.'!AF1,"يرجي العلم ان العروض المتاحة هي ( 3.5 متر &amp; 4 متر ) و اقصي امتداد هو ( من 3.5 الي 6 متر )",IF(Table115[المنتج]='PERG. CS.'!AF2,"يرجي العلم ان العروض المتاحة هي ( 3.5 متر &amp; 4 متر ) و اقصي امتداد هو ( من3.5 الي 6 متر )",IF(Table115[المنتج]='PERG. CS.'!AF3,"يرجي العلم ان العروض المتاحة هي ( من 4 الي 7 متر ) و اقصي امتداد هو (من 4 الي 7 متر)",IF(Table115[المنتج]='PERG. CS.'!AF4,"يرجي العلم ان العروض المتاحة هي (من 3 ال 6 متر ) و اقصي امتداد هو ( من 3 الي 6 متر )",IF(Table115[المنتج]='PERG. CS.'!AF5,"يرجي العلم ان العروض المتاحة هي ( 4 متر ) و اقصي امتداد هو ( من 4 الي 5 متر )",IF(Table115[المنتج]='PERG. CS.'!AF6,"يرجي العلم ان العروض المتاحة هي ( 3.5 متر &amp; 4 متر ) و اقصي امتداد هو ( من 3.5 الي 5 متر)",IF(Table115[المنتج]='PERG. CS.'!AF7,"يرجي العلم ان العروض المتاحة هي ( 3.5 متر &amp; 4 متر ) و اقصي امتداد هو ( من 3.5 الي 5 متر)",IF(Table115[المنتج]='PERG. CS.'!AF8,"يرجي العلم ان العروض المتاحة هي ( من 3.5 الي 6 متر) و اقصي امتداد هو (من 3.5 الي 6 متر)",0))))))))</f>
        <v>يرجي العلم ان العروض المتاحة هي ( من 3.5 الي 6 متر) و اقصي امتداد هو (من 3.5 الي 6 متر)</v>
      </c>
      <c r="AI48" s="808"/>
      <c r="AJ48" s="808"/>
      <c r="AK48" s="808"/>
      <c r="AL48" s="809"/>
      <c r="AM48" s="810" t="str">
        <f>Table115[المنتج]</f>
        <v>MESH</v>
      </c>
      <c r="AN48" s="811"/>
      <c r="AO48" s="806"/>
      <c r="AP48" s="806"/>
      <c r="AQ48" s="454"/>
      <c r="AR48" s="626"/>
      <c r="AS48" s="431"/>
      <c r="AT48" s="431"/>
      <c r="BD48" s="431"/>
      <c r="BE48" s="431"/>
      <c r="BN48" s="407"/>
    </row>
    <row r="49" ht="42" customHeight="1">
      <c r="A49" s="853"/>
      <c r="B49" s="853"/>
      <c r="C49" s="853"/>
      <c r="D49" s="853"/>
      <c r="E49" s="853"/>
      <c r="F49" s="853"/>
      <c r="G49" s="853"/>
      <c r="H49" s="853"/>
      <c r="I49" s="853"/>
      <c r="J49" s="853"/>
      <c r="K49" s="853"/>
      <c r="L49" s="853"/>
      <c r="M49" s="853"/>
      <c r="N49" s="853"/>
      <c r="O49" s="853"/>
      <c r="P49" s="853"/>
      <c r="Q49" s="853"/>
      <c r="R49" s="849"/>
      <c r="S49" s="440"/>
      <c r="T49" s="440"/>
      <c r="U49" s="449"/>
      <c r="V49" s="449"/>
      <c r="W49" s="449"/>
      <c r="X49" s="449"/>
      <c r="Y49" s="449"/>
      <c r="Z49" s="449"/>
      <c r="AA49" s="449"/>
      <c r="AB49" s="449"/>
      <c r="AC49" s="449"/>
      <c r="AD49" s="626"/>
      <c r="AE49" s="454"/>
      <c r="AF49" s="454"/>
      <c r="AG49" s="790" t="s">
        <v>691</v>
      </c>
      <c r="AH49" s="812" t="s">
        <v>692</v>
      </c>
      <c r="AI49" s="812"/>
      <c r="AJ49" s="812"/>
      <c r="AK49" s="812"/>
      <c r="AL49" s="813"/>
      <c r="AM49" s="814" t="str">
        <f>IF(Table115[المنتج]='PERG. CS.'!AF1,"A motorized aluminum pergola with adjustable slats for sun-rain protection, available in wood or plain colors with built-in drainage",IF(Table115[المنتج]='PERG. CS.'!AF2,"This aluminum louvers system adds elegance to any outdoor space and can include lighting for a luxurious nighttime ambiance",IF(Table115[المنتج]='PERG. CS.'!AF3,"The louvers feature a sleek contemporary design with LED profile lighting that adds a refined, captivating ambiance-especially at night",IF(Table115[المنتج]='PERG. CS.'!AF4,"Windows aluminum pergola - A modern, square-pattern aluminum structure offering stylish shade and ventilation for contemporary outdoor spaces",IF(Table115[المنتج]='PERG. CS.'!AF5,"Fixed Wooden-Effect aluminum louvers pergola durable fixed-louvers design with bird-shaped connectors for stylish, permanent sun protection ldeal for gardens and terraces",IF(Table115[المنتج]='PERG. CS.'!AF6,"The louvers feature a sleek , contemporary design with LED profile lighting that adds a refined, captivating nighttime ambiance",IF(Table115[المنتج]='PERG. CS.'!AF7,"The louvers feature a sleek , contemporary design with LED profile lighting that adds a refined, captivating nighttime ambiance",IF(Table115[المنتج]='PERG. CS.'!AF8,"This aluminum pergola with HDPE fabric offers stylish , durable sun protection for any outdoor space",0))))))))</f>
        <v>This aluminum pergola with HDPE fabric offers stylish , durable sun protection for any outdoor space</v>
      </c>
      <c r="AN49" s="815"/>
      <c r="AO49" s="807"/>
      <c r="AP49" s="807"/>
      <c r="AQ49" s="454"/>
      <c r="AR49" s="626"/>
      <c r="AS49" s="415" t="s">
        <v>657</v>
      </c>
      <c r="AT49" s="474" t="s">
        <v>189</v>
      </c>
      <c r="BD49" s="415" t="s">
        <v>657</v>
      </c>
      <c r="BE49" s="474" t="s">
        <v>189</v>
      </c>
      <c r="BN49" s="407"/>
    </row>
    <row r="50" ht="42" customHeight="1">
      <c r="A50" s="853"/>
      <c r="B50" s="853"/>
      <c r="C50" s="853"/>
      <c r="D50" s="853"/>
      <c r="E50" s="853"/>
      <c r="F50" s="853"/>
      <c r="G50" s="853"/>
      <c r="H50" s="853"/>
      <c r="I50" s="853"/>
      <c r="J50" s="853"/>
      <c r="K50" s="853"/>
      <c r="L50" s="853"/>
      <c r="M50" s="853"/>
      <c r="N50" s="853"/>
      <c r="O50" s="853"/>
      <c r="P50" s="853"/>
      <c r="Q50" s="853"/>
      <c r="R50" s="849"/>
      <c r="S50" s="440"/>
      <c r="T50" s="441"/>
      <c r="U50" s="449"/>
      <c r="V50" s="449"/>
      <c r="W50" s="449"/>
      <c r="X50" s="449"/>
      <c r="Y50" s="449"/>
      <c r="Z50" s="449"/>
      <c r="AA50" s="449"/>
      <c r="AB50" s="449"/>
      <c r="AC50" s="449"/>
      <c r="AD50" s="626"/>
      <c r="AE50" s="454"/>
      <c r="AF50" s="454"/>
      <c r="AG50" s="790" t="s">
        <v>691</v>
      </c>
      <c r="AH50" s="812" t="s">
        <v>693</v>
      </c>
      <c r="AI50" s="812"/>
      <c r="AJ50" s="812"/>
      <c r="AK50" s="812"/>
      <c r="AL50" s="813"/>
      <c r="AM50" s="814"/>
      <c r="AN50" s="815"/>
      <c r="AO50" s="805"/>
      <c r="AP50" s="805"/>
      <c r="AQ50" s="454"/>
      <c r="AR50" s="626"/>
      <c r="AS50" s="415" t="s">
        <v>608</v>
      </c>
      <c r="AT50" s="474" t="s">
        <v>615</v>
      </c>
      <c r="AV50" s="475"/>
      <c r="AW50" s="476"/>
      <c r="AX50" s="476"/>
      <c r="AY50" s="476"/>
      <c r="AZ50" s="476"/>
      <c r="BD50" s="415" t="s">
        <v>608</v>
      </c>
      <c r="BE50" s="474" t="s">
        <v>612</v>
      </c>
      <c r="BG50" s="475"/>
      <c r="BH50" s="476"/>
      <c r="BI50" s="476"/>
      <c r="BJ50" s="476"/>
      <c r="BK50" s="476"/>
      <c r="BN50" s="407"/>
    </row>
    <row r="51" ht="42" customHeight="1">
      <c r="A51" s="853"/>
      <c r="B51" s="853"/>
      <c r="C51" s="853"/>
      <c r="D51" s="853"/>
      <c r="E51" s="853"/>
      <c r="F51" s="853"/>
      <c r="G51" s="853"/>
      <c r="H51" s="853"/>
      <c r="I51" s="853"/>
      <c r="J51" s="853"/>
      <c r="K51" s="853"/>
      <c r="L51" s="853"/>
      <c r="M51" s="853"/>
      <c r="N51" s="853"/>
      <c r="O51" s="853"/>
      <c r="P51" s="853"/>
      <c r="Q51" s="853"/>
      <c r="R51" s="849"/>
      <c r="S51" s="432" t="s">
        <v>694</v>
      </c>
      <c r="T51" s="444">
        <f>IF((T52="double"),(T54*T55/5000),(T54*T55/10000))</f>
        <v>25</v>
      </c>
      <c r="U51" s="449"/>
      <c r="V51" s="449"/>
      <c r="W51" s="449"/>
      <c r="X51" s="449"/>
      <c r="Y51" s="449"/>
      <c r="Z51" s="449"/>
      <c r="AA51" s="449"/>
      <c r="AB51" s="449"/>
      <c r="AC51" s="449"/>
      <c r="AD51" s="626"/>
      <c r="AE51" s="454"/>
      <c r="AF51" s="454"/>
      <c r="AG51" s="791" t="s">
        <v>691</v>
      </c>
      <c r="AH51" s="818" t="s">
        <v>695</v>
      </c>
      <c r="AI51" s="818"/>
      <c r="AJ51" s="818"/>
      <c r="AK51" s="818"/>
      <c r="AL51" s="819"/>
      <c r="AM51" s="816"/>
      <c r="AN51" s="817"/>
      <c r="AO51" s="454"/>
      <c r="AP51" s="454"/>
      <c r="AQ51" s="454"/>
      <c r="AR51" s="626"/>
      <c r="AS51" s="428"/>
      <c r="AT51" s="429"/>
      <c r="AV51" s="476"/>
      <c r="AW51" s="476"/>
      <c r="AX51" s="476"/>
      <c r="AY51" s="476"/>
      <c r="AZ51" s="476"/>
      <c r="BA51" s="476"/>
      <c r="BD51" s="428"/>
      <c r="BE51" s="429"/>
      <c r="BG51" s="476"/>
      <c r="BH51" s="476"/>
      <c r="BI51" s="476"/>
      <c r="BJ51" s="476"/>
      <c r="BK51" s="476"/>
      <c r="BL51" s="476"/>
      <c r="BN51" s="407"/>
    </row>
    <row r="52" ht="42" customHeight="1">
      <c r="A52" s="853"/>
      <c r="B52" s="853"/>
      <c r="C52" s="853"/>
      <c r="D52" s="853"/>
      <c r="E52" s="853"/>
      <c r="F52" s="853"/>
      <c r="G52" s="853"/>
      <c r="H52" s="853"/>
      <c r="I52" s="853"/>
      <c r="J52" s="853"/>
      <c r="K52" s="853"/>
      <c r="L52" s="853"/>
      <c r="M52" s="853"/>
      <c r="N52" s="853"/>
      <c r="O52" s="853"/>
      <c r="P52" s="853"/>
      <c r="Q52" s="853"/>
      <c r="R52" s="849"/>
      <c r="S52" s="432" t="s">
        <v>696</v>
      </c>
      <c r="T52" s="450" t="s">
        <v>261</v>
      </c>
      <c r="U52" s="449"/>
      <c r="V52" s="449"/>
      <c r="W52" s="449"/>
      <c r="X52" s="449"/>
      <c r="Y52" s="449"/>
      <c r="Z52" s="449"/>
      <c r="AA52" s="449"/>
      <c r="AB52" s="449"/>
      <c r="AC52" s="449"/>
      <c r="AD52" s="626"/>
      <c r="AE52" s="626"/>
      <c r="AF52" s="626"/>
      <c r="AG52" s="626"/>
      <c r="AH52" s="626"/>
      <c r="AI52" s="626"/>
      <c r="AJ52" s="626"/>
      <c r="AK52" s="626"/>
      <c r="AL52" s="626"/>
      <c r="AM52" s="626"/>
      <c r="AN52" s="626"/>
      <c r="AO52" s="626"/>
      <c r="AP52" s="626"/>
      <c r="AQ52" s="626"/>
      <c r="AR52" s="626"/>
      <c r="AS52" s="430" t="s">
        <v>660</v>
      </c>
      <c r="AT52" s="426" t="s">
        <v>614</v>
      </c>
      <c r="BA52" s="475"/>
      <c r="BD52" s="430" t="s">
        <v>660</v>
      </c>
      <c r="BE52" s="426" t="s">
        <v>614</v>
      </c>
      <c r="BL52" s="475"/>
      <c r="BN52" s="407"/>
    </row>
    <row r="53" ht="42" customHeight="1">
      <c r="A53" s="853"/>
      <c r="B53" s="853"/>
      <c r="C53" s="853"/>
      <c r="D53" s="853"/>
      <c r="E53" s="853"/>
      <c r="F53" s="853"/>
      <c r="G53" s="853"/>
      <c r="H53" s="853"/>
      <c r="I53" s="853"/>
      <c r="J53" s="853"/>
      <c r="K53" s="853"/>
      <c r="L53" s="853"/>
      <c r="M53" s="853"/>
      <c r="N53" s="853"/>
      <c r="O53" s="853"/>
      <c r="P53" s="853"/>
      <c r="Q53" s="853"/>
      <c r="R53" s="849"/>
      <c r="S53" s="432" t="s">
        <v>660</v>
      </c>
      <c r="T53" s="444" t="s">
        <v>614</v>
      </c>
      <c r="U53" s="449"/>
      <c r="V53" s="449"/>
      <c r="W53" s="449"/>
      <c r="X53" s="449"/>
      <c r="Y53" s="449"/>
      <c r="Z53" s="449"/>
      <c r="AA53" s="449"/>
      <c r="AB53" s="449"/>
      <c r="AC53" s="451">
        <f>T55</f>
        <v>500</v>
      </c>
      <c r="AD53" s="626"/>
      <c r="AE53" s="626"/>
      <c r="AF53" s="626"/>
      <c r="AG53" s="626"/>
      <c r="AH53" s="627"/>
      <c r="AI53" s="626"/>
      <c r="AJ53" s="626"/>
      <c r="AK53" s="626"/>
      <c r="AL53" s="626"/>
      <c r="AM53" s="626"/>
      <c r="AN53" s="626"/>
      <c r="AO53" s="626"/>
      <c r="AP53" s="626"/>
      <c r="AQ53" s="626"/>
      <c r="AR53" s="626"/>
      <c r="AS53" s="430" t="s">
        <v>661</v>
      </c>
      <c r="AT53" s="430">
        <v>500</v>
      </c>
      <c r="BA53" s="0" t="s">
        <v>663</v>
      </c>
      <c r="BD53" s="430" t="s">
        <v>661</v>
      </c>
      <c r="BE53" s="430">
        <v>500</v>
      </c>
      <c r="BL53" s="0" t="s">
        <v>663</v>
      </c>
      <c r="BN53" s="407"/>
    </row>
    <row r="54" ht="42" customHeight="1">
      <c r="A54" s="853"/>
      <c r="B54" s="853"/>
      <c r="C54" s="853"/>
      <c r="D54" s="853"/>
      <c r="E54" s="853"/>
      <c r="F54" s="853"/>
      <c r="G54" s="853"/>
      <c r="H54" s="853"/>
      <c r="I54" s="853"/>
      <c r="J54" s="853"/>
      <c r="K54" s="853"/>
      <c r="L54" s="853"/>
      <c r="M54" s="853"/>
      <c r="N54" s="853"/>
      <c r="O54" s="853"/>
      <c r="P54" s="853"/>
      <c r="Q54" s="853"/>
      <c r="R54" s="849"/>
      <c r="S54" s="432" t="s">
        <v>661</v>
      </c>
      <c r="T54" s="446">
        <v>500</v>
      </c>
      <c r="U54" s="449"/>
      <c r="V54" s="449"/>
      <c r="W54" s="449"/>
      <c r="X54" s="449"/>
      <c r="Y54" s="449"/>
      <c r="Z54" s="449"/>
      <c r="AA54" s="449"/>
      <c r="AC54" s="449"/>
      <c r="AQ54" s="406"/>
      <c r="AS54" s="430" t="s">
        <v>664</v>
      </c>
      <c r="AT54" s="430">
        <v>400</v>
      </c>
      <c r="AU54" s="477"/>
      <c r="AZ54" s="839"/>
      <c r="BA54" s="839"/>
      <c r="BB54" s="839"/>
      <c r="BD54" s="430" t="s">
        <v>664</v>
      </c>
      <c r="BE54" s="430">
        <v>400</v>
      </c>
      <c r="BF54" s="477"/>
      <c r="BK54" s="839"/>
      <c r="BL54" s="839"/>
      <c r="BM54" s="839"/>
      <c r="BN54" s="407"/>
    </row>
    <row r="55" ht="42" customHeight="1">
      <c r="A55" s="853"/>
      <c r="B55" s="853"/>
      <c r="C55" s="853"/>
      <c r="D55" s="853"/>
      <c r="E55" s="853"/>
      <c r="F55" s="853"/>
      <c r="G55" s="853"/>
      <c r="H55" s="853"/>
      <c r="I55" s="853"/>
      <c r="J55" s="853"/>
      <c r="K55" s="853"/>
      <c r="L55" s="853"/>
      <c r="M55" s="853"/>
      <c r="N55" s="853"/>
      <c r="O55" s="853"/>
      <c r="P55" s="853"/>
      <c r="Q55" s="853"/>
      <c r="R55" s="849"/>
      <c r="S55" s="432" t="s">
        <v>664</v>
      </c>
      <c r="T55" s="446">
        <v>500</v>
      </c>
      <c r="U55" s="449"/>
      <c r="V55" s="449"/>
      <c r="W55" s="449"/>
      <c r="X55" s="449"/>
      <c r="Y55" s="449"/>
      <c r="Z55" s="449"/>
      <c r="AA55" s="449"/>
      <c r="AC55" s="449"/>
      <c r="AQ55" s="406"/>
      <c r="AS55" s="407"/>
      <c r="AT55" s="407"/>
      <c r="BD55" s="407"/>
      <c r="BE55" s="407"/>
      <c r="BN55" s="407"/>
    </row>
    <row r="56" ht="42" customHeight="1">
      <c r="A56" s="853"/>
      <c r="B56" s="853"/>
      <c r="C56" s="853"/>
      <c r="D56" s="853"/>
      <c r="E56" s="853"/>
      <c r="F56" s="853"/>
      <c r="G56" s="853"/>
      <c r="H56" s="853"/>
      <c r="I56" s="853"/>
      <c r="J56" s="853"/>
      <c r="K56" s="853"/>
      <c r="L56" s="853"/>
      <c r="M56" s="853"/>
      <c r="N56" s="853"/>
      <c r="O56" s="853"/>
      <c r="P56" s="853"/>
      <c r="Q56" s="853"/>
      <c r="R56" s="849"/>
      <c r="S56" s="449"/>
      <c r="T56" s="449"/>
      <c r="U56" s="449"/>
      <c r="V56" s="449"/>
      <c r="W56" s="451">
        <f>T54</f>
        <v>500</v>
      </c>
      <c r="X56" s="449"/>
      <c r="Y56" s="449"/>
      <c r="Z56" s="449"/>
      <c r="AA56" s="449"/>
      <c r="AB56" s="449"/>
      <c r="AC56" s="449"/>
      <c r="AQ56" s="406"/>
      <c r="AS56" s="407"/>
      <c r="AT56" s="407"/>
      <c r="BD56" s="407"/>
      <c r="BE56" s="407"/>
      <c r="BN56" s="407"/>
    </row>
    <row r="57" ht="42" customHeight="1">
      <c r="A57" s="853"/>
      <c r="B57" s="853"/>
      <c r="C57" s="853"/>
      <c r="D57" s="853"/>
      <c r="E57" s="853"/>
      <c r="F57" s="853"/>
      <c r="G57" s="853"/>
      <c r="H57" s="853"/>
      <c r="I57" s="853"/>
      <c r="J57" s="853"/>
      <c r="K57" s="853"/>
      <c r="L57" s="853"/>
      <c r="M57" s="853"/>
      <c r="N57" s="853"/>
      <c r="O57" s="853"/>
      <c r="P57" s="853"/>
      <c r="Q57" s="853"/>
      <c r="R57" s="849"/>
      <c r="S57" s="449"/>
      <c r="T57" s="449"/>
      <c r="U57" s="449"/>
      <c r="V57" s="449"/>
      <c r="W57" s="449"/>
      <c r="X57" s="449"/>
      <c r="Y57" s="449"/>
      <c r="Z57" s="449"/>
      <c r="AA57" s="449"/>
      <c r="AC57" s="449"/>
      <c r="AQ57" s="406"/>
      <c r="AS57" s="840">
        <f>('بيرسا و لوفرز'!BA14+'بيرسا و لوفرز'!BP62+'بيرسا و لوفرز'!BQ54)*1.35</f>
        <v>151084.845</v>
      </c>
      <c r="AT57" s="841"/>
      <c r="BD57" s="840">
        <f>('بيرسا و لوفرز'!BA85+'بيرسا و لوفرز'!BP133+'بيرسا و لوفرز'!BQ125)*1.35</f>
        <v>151084.845</v>
      </c>
      <c r="BE57" s="841"/>
      <c r="BN57" s="407"/>
    </row>
    <row r="58" ht="42" customHeight="1">
      <c r="A58" s="853"/>
      <c r="B58" s="853"/>
      <c r="C58" s="853"/>
      <c r="D58" s="853"/>
      <c r="E58" s="853"/>
      <c r="F58" s="853"/>
      <c r="G58" s="853"/>
      <c r="H58" s="853"/>
      <c r="I58" s="853"/>
      <c r="J58" s="853"/>
      <c r="K58" s="853"/>
      <c r="L58" s="853"/>
      <c r="M58" s="853"/>
      <c r="N58" s="853"/>
      <c r="O58" s="853"/>
      <c r="P58" s="853"/>
      <c r="Q58" s="853"/>
      <c r="R58" s="849"/>
      <c r="S58" s="449"/>
      <c r="T58" s="449"/>
      <c r="U58" s="449"/>
      <c r="V58" s="449"/>
      <c r="Y58" s="449"/>
      <c r="Z58" s="449"/>
      <c r="AA58" s="449"/>
      <c r="AB58" s="449"/>
      <c r="AC58" s="449"/>
      <c r="AQ58" s="406"/>
      <c r="AS58" s="845">
        <f>AS57/(AT53*AT54/10000)</f>
        <v>7554.24225</v>
      </c>
      <c r="AT58" s="846"/>
      <c r="BD58" s="845">
        <f>BD57/(BE53*BE54/10000)</f>
        <v>7554.24225</v>
      </c>
      <c r="BE58" s="846"/>
      <c r="BN58" s="407"/>
    </row>
    <row r="59" ht="75" customHeight="1">
      <c r="A59" s="853"/>
      <c r="B59" s="853"/>
      <c r="C59" s="853"/>
      <c r="D59" s="853"/>
      <c r="E59" s="853"/>
      <c r="F59" s="853"/>
      <c r="G59" s="853"/>
      <c r="H59" s="853"/>
      <c r="I59" s="853"/>
      <c r="J59" s="853"/>
      <c r="K59" s="853"/>
      <c r="L59" s="853"/>
      <c r="M59" s="853"/>
      <c r="N59" s="853"/>
      <c r="O59" s="853"/>
      <c r="P59" s="853"/>
      <c r="Q59" s="853"/>
      <c r="R59" s="849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Q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67.2" customHeight="1">
      <c r="A60" s="853" t="s">
        <v>697</v>
      </c>
      <c r="B60" s="853"/>
      <c r="C60" s="853"/>
      <c r="D60" s="853"/>
      <c r="E60" s="853"/>
      <c r="F60" s="853"/>
      <c r="G60" s="853"/>
      <c r="H60" s="853"/>
      <c r="I60" s="853"/>
      <c r="J60" s="853"/>
      <c r="K60" s="853"/>
      <c r="L60" s="853"/>
      <c r="M60" s="853"/>
      <c r="N60" s="853"/>
      <c r="O60" s="853"/>
      <c r="P60" s="853"/>
      <c r="Q60" s="853"/>
      <c r="R60" s="849"/>
      <c r="S60" s="847" t="s">
        <v>686</v>
      </c>
      <c r="T60" s="848"/>
      <c r="U60" s="449"/>
      <c r="V60" s="449"/>
      <c r="W60" s="449"/>
      <c r="X60" s="449"/>
      <c r="Y60" s="449"/>
      <c r="Z60" s="449"/>
      <c r="AA60" s="449"/>
      <c r="AB60" s="449"/>
      <c r="AC60" s="449"/>
      <c r="AQ60" s="406"/>
      <c r="BN60" s="407"/>
    </row>
    <row r="61" ht="67.2" customHeight="1">
      <c r="A61" s="853"/>
      <c r="B61" s="853"/>
      <c r="C61" s="853"/>
      <c r="D61" s="853"/>
      <c r="E61" s="853"/>
      <c r="F61" s="853"/>
      <c r="G61" s="853"/>
      <c r="H61" s="853"/>
      <c r="I61" s="853"/>
      <c r="J61" s="853"/>
      <c r="K61" s="853"/>
      <c r="L61" s="853"/>
      <c r="M61" s="853"/>
      <c r="N61" s="853"/>
      <c r="O61" s="853"/>
      <c r="P61" s="853"/>
      <c r="Q61" s="853"/>
      <c r="R61" s="849"/>
      <c r="S61" s="434" t="s">
        <v>649</v>
      </c>
      <c r="T61" s="435">
        <f>'شماسي و كانتليفر'!N84</f>
        <v>114794.55</v>
      </c>
      <c r="U61" s="449"/>
      <c r="V61" s="449"/>
      <c r="W61" s="449"/>
      <c r="X61" s="449"/>
      <c r="Y61" s="449"/>
      <c r="Z61" s="449"/>
      <c r="AA61" s="449"/>
      <c r="AB61" s="449"/>
      <c r="AC61" s="449"/>
      <c r="AQ61" s="406"/>
      <c r="BN61" s="407"/>
    </row>
    <row r="62" ht="36.6">
      <c r="A62" s="853"/>
      <c r="B62" s="853"/>
      <c r="C62" s="853"/>
      <c r="D62" s="853"/>
      <c r="E62" s="853"/>
      <c r="F62" s="853"/>
      <c r="G62" s="853"/>
      <c r="H62" s="853"/>
      <c r="I62" s="853"/>
      <c r="J62" s="853"/>
      <c r="K62" s="853"/>
      <c r="L62" s="853"/>
      <c r="M62" s="853"/>
      <c r="N62" s="853"/>
      <c r="O62" s="853"/>
      <c r="P62" s="853"/>
      <c r="Q62" s="853"/>
      <c r="R62" s="849"/>
      <c r="S62" s="436" t="s">
        <v>127</v>
      </c>
      <c r="T62" s="435">
        <f>T61/T69</f>
        <v>4591.782</v>
      </c>
      <c r="U62" s="449"/>
      <c r="V62" s="449"/>
      <c r="W62" s="449"/>
      <c r="X62" s="449"/>
      <c r="Y62" s="852"/>
      <c r="Z62" s="852"/>
      <c r="AA62" s="449"/>
      <c r="AB62" s="449"/>
      <c r="AC62" s="449"/>
      <c r="AQ62" s="406"/>
      <c r="BN62" s="407"/>
    </row>
    <row r="63" ht="28.8">
      <c r="A63" s="853"/>
      <c r="B63" s="853"/>
      <c r="C63" s="853"/>
      <c r="D63" s="853"/>
      <c r="E63" s="853"/>
      <c r="F63" s="853"/>
      <c r="G63" s="853"/>
      <c r="H63" s="853"/>
      <c r="I63" s="853"/>
      <c r="J63" s="853"/>
      <c r="K63" s="853"/>
      <c r="L63" s="853"/>
      <c r="M63" s="853"/>
      <c r="N63" s="853"/>
      <c r="O63" s="853"/>
      <c r="P63" s="853"/>
      <c r="Q63" s="853"/>
      <c r="R63" s="849"/>
      <c r="S63" s="432" t="s">
        <v>650</v>
      </c>
      <c r="T63" s="433" t="s">
        <v>21</v>
      </c>
      <c r="U63" s="449"/>
      <c r="V63" s="449"/>
      <c r="W63" s="449"/>
      <c r="X63" s="449"/>
      <c r="Y63" s="852"/>
      <c r="Z63" s="852"/>
      <c r="AA63" s="449"/>
      <c r="AB63" s="449"/>
      <c r="AC63" s="449"/>
      <c r="AQ63" s="406"/>
      <c r="BN63" s="407"/>
    </row>
    <row r="64" ht="28.8">
      <c r="A64" s="853"/>
      <c r="B64" s="853"/>
      <c r="C64" s="853"/>
      <c r="D64" s="853"/>
      <c r="E64" s="853"/>
      <c r="F64" s="853"/>
      <c r="G64" s="853"/>
      <c r="H64" s="853"/>
      <c r="I64" s="853"/>
      <c r="J64" s="853"/>
      <c r="K64" s="853"/>
      <c r="L64" s="853"/>
      <c r="M64" s="853"/>
      <c r="N64" s="853"/>
      <c r="O64" s="853"/>
      <c r="P64" s="853"/>
      <c r="Q64" s="853"/>
      <c r="R64" s="849"/>
      <c r="S64" s="437" t="s">
        <v>609</v>
      </c>
      <c r="T64" s="438" t="s">
        <v>616</v>
      </c>
      <c r="U64" s="449"/>
      <c r="V64" s="449"/>
      <c r="W64" s="449"/>
      <c r="X64" s="449"/>
      <c r="Y64" s="852"/>
      <c r="Z64" s="852"/>
      <c r="AA64" s="449"/>
      <c r="AB64" s="449"/>
      <c r="AC64" s="449"/>
      <c r="AQ64" s="406"/>
      <c r="BN64" s="407"/>
    </row>
    <row r="65" ht="28.8">
      <c r="A65" s="853"/>
      <c r="B65" s="853"/>
      <c r="C65" s="853"/>
      <c r="D65" s="853"/>
      <c r="E65" s="853"/>
      <c r="F65" s="853"/>
      <c r="G65" s="853"/>
      <c r="H65" s="853"/>
      <c r="I65" s="853"/>
      <c r="J65" s="853"/>
      <c r="K65" s="853"/>
      <c r="L65" s="853"/>
      <c r="M65" s="853"/>
      <c r="N65" s="853"/>
      <c r="O65" s="853"/>
      <c r="P65" s="853"/>
      <c r="Q65" s="853"/>
      <c r="R65" s="849"/>
      <c r="S65" s="432" t="s">
        <v>690</v>
      </c>
      <c r="T65" s="439">
        <f>ROUNDUP(T72/500,0)</f>
        <v>1</v>
      </c>
      <c r="U65" s="449"/>
      <c r="V65" s="449"/>
      <c r="W65" s="449"/>
      <c r="X65" s="449"/>
      <c r="Y65" s="449"/>
      <c r="Z65" s="449"/>
      <c r="AA65" s="449"/>
      <c r="AB65" s="449"/>
      <c r="AC65" s="449"/>
      <c r="AQ65" s="406"/>
      <c r="BN65" s="407"/>
    </row>
    <row r="66" ht="40.5" customHeight="1">
      <c r="A66" s="853"/>
      <c r="B66" s="853"/>
      <c r="C66" s="853"/>
      <c r="D66" s="853"/>
      <c r="E66" s="853"/>
      <c r="F66" s="853"/>
      <c r="G66" s="853"/>
      <c r="H66" s="853"/>
      <c r="I66" s="853"/>
      <c r="J66" s="853"/>
      <c r="K66" s="853"/>
      <c r="L66" s="853"/>
      <c r="M66" s="853"/>
      <c r="N66" s="853"/>
      <c r="O66" s="853"/>
      <c r="P66" s="853"/>
      <c r="Q66" s="853"/>
      <c r="R66" s="849"/>
      <c r="S66" s="440"/>
      <c r="T66" s="441"/>
      <c r="U66" s="449"/>
      <c r="V66" s="449"/>
      <c r="W66" s="449"/>
      <c r="X66" s="449"/>
      <c r="Y66" s="449"/>
      <c r="Z66" s="449"/>
      <c r="AA66" s="449"/>
      <c r="AB66" s="449"/>
      <c r="AC66" s="449"/>
      <c r="AQ66" s="406"/>
      <c r="BN66" s="407"/>
    </row>
    <row r="67" ht="40.5" customHeight="1">
      <c r="A67" s="853"/>
      <c r="B67" s="853"/>
      <c r="C67" s="853"/>
      <c r="D67" s="853"/>
      <c r="E67" s="853"/>
      <c r="F67" s="853"/>
      <c r="G67" s="853"/>
      <c r="H67" s="853"/>
      <c r="I67" s="853"/>
      <c r="J67" s="853"/>
      <c r="K67" s="853"/>
      <c r="L67" s="853"/>
      <c r="M67" s="853"/>
      <c r="N67" s="853"/>
      <c r="O67" s="853"/>
      <c r="P67" s="853"/>
      <c r="Q67" s="853"/>
      <c r="R67" s="849"/>
      <c r="S67" s="440"/>
      <c r="T67" s="440"/>
      <c r="U67" s="449"/>
      <c r="V67" s="449"/>
      <c r="W67" s="449"/>
      <c r="X67" s="449"/>
      <c r="Y67" s="449"/>
      <c r="Z67" s="449"/>
      <c r="AA67" s="449"/>
      <c r="AB67" s="449"/>
      <c r="AC67" s="449"/>
      <c r="AQ67" s="406"/>
      <c r="BN67" s="407"/>
    </row>
    <row r="68" ht="40.5" customHeight="1">
      <c r="A68" s="853"/>
      <c r="B68" s="853"/>
      <c r="C68" s="853"/>
      <c r="D68" s="853"/>
      <c r="E68" s="853"/>
      <c r="F68" s="853"/>
      <c r="G68" s="853"/>
      <c r="H68" s="853"/>
      <c r="I68" s="853"/>
      <c r="J68" s="853"/>
      <c r="K68" s="853"/>
      <c r="L68" s="853"/>
      <c r="M68" s="853"/>
      <c r="N68" s="853"/>
      <c r="O68" s="853"/>
      <c r="P68" s="853"/>
      <c r="Q68" s="853"/>
      <c r="R68" s="849"/>
      <c r="S68" s="440"/>
      <c r="T68" s="441"/>
      <c r="U68" s="449"/>
      <c r="V68" s="449"/>
      <c r="W68" s="449"/>
      <c r="X68" s="449"/>
      <c r="Y68" s="449"/>
      <c r="Z68" s="449"/>
      <c r="AA68" s="449"/>
      <c r="AB68" s="449"/>
      <c r="AC68" s="449"/>
      <c r="AR68" s="406"/>
      <c r="BN68" s="407"/>
    </row>
    <row r="69" ht="40.5" customHeight="1">
      <c r="A69" s="853"/>
      <c r="B69" s="853"/>
      <c r="C69" s="853"/>
      <c r="D69" s="853"/>
      <c r="E69" s="853"/>
      <c r="F69" s="853"/>
      <c r="G69" s="853"/>
      <c r="H69" s="853"/>
      <c r="I69" s="853"/>
      <c r="J69" s="853"/>
      <c r="K69" s="853"/>
      <c r="L69" s="853"/>
      <c r="M69" s="853"/>
      <c r="N69" s="853"/>
      <c r="O69" s="853"/>
      <c r="P69" s="853"/>
      <c r="Q69" s="853"/>
      <c r="R69" s="849"/>
      <c r="S69" s="432" t="s">
        <v>694</v>
      </c>
      <c r="T69" s="444">
        <f>IF((T70="double"),(T72*T73/5000),(T72*T73/10000))</f>
        <v>25</v>
      </c>
      <c r="U69" s="449"/>
      <c r="V69" s="449"/>
      <c r="W69" s="449"/>
      <c r="X69" s="449"/>
      <c r="Y69" s="449"/>
      <c r="Z69" s="449"/>
      <c r="AB69" s="449"/>
      <c r="AC69" s="449"/>
      <c r="AR69" s="406"/>
      <c r="BN69" s="407"/>
    </row>
    <row r="70" ht="40.5" customHeight="1">
      <c r="A70" s="853"/>
      <c r="B70" s="853"/>
      <c r="C70" s="853"/>
      <c r="D70" s="853"/>
      <c r="E70" s="853"/>
      <c r="F70" s="853"/>
      <c r="G70" s="853"/>
      <c r="H70" s="853"/>
      <c r="I70" s="853"/>
      <c r="J70" s="853"/>
      <c r="K70" s="853"/>
      <c r="L70" s="853"/>
      <c r="M70" s="853"/>
      <c r="N70" s="853"/>
      <c r="O70" s="853"/>
      <c r="P70" s="853"/>
      <c r="Q70" s="853"/>
      <c r="R70" s="849"/>
      <c r="S70" s="432" t="s">
        <v>696</v>
      </c>
      <c r="T70" s="450" t="s">
        <v>261</v>
      </c>
      <c r="U70" s="449"/>
      <c r="V70" s="449"/>
      <c r="W70" s="449"/>
      <c r="X70" s="449"/>
      <c r="Y70" s="449"/>
      <c r="Z70" s="449"/>
      <c r="AA70" s="449"/>
      <c r="AB70" s="449"/>
      <c r="AC70" s="449"/>
      <c r="AR70" s="406"/>
      <c r="BN70" s="407"/>
    </row>
    <row r="71" ht="40.5" customHeight="1">
      <c r="A71" s="853"/>
      <c r="B71" s="853"/>
      <c r="C71" s="853"/>
      <c r="D71" s="853"/>
      <c r="E71" s="853"/>
      <c r="F71" s="853"/>
      <c r="G71" s="853"/>
      <c r="H71" s="853"/>
      <c r="I71" s="853"/>
      <c r="J71" s="853"/>
      <c r="K71" s="853"/>
      <c r="L71" s="853"/>
      <c r="M71" s="853"/>
      <c r="N71" s="853"/>
      <c r="O71" s="853"/>
      <c r="P71" s="853"/>
      <c r="Q71" s="853"/>
      <c r="R71" s="849"/>
      <c r="S71" s="432" t="s">
        <v>660</v>
      </c>
      <c r="T71" s="444" t="s">
        <v>614</v>
      </c>
      <c r="U71" s="449"/>
      <c r="V71" s="449"/>
      <c r="W71" s="449"/>
      <c r="X71" s="449"/>
      <c r="Y71" s="449"/>
      <c r="Z71" s="449"/>
      <c r="AA71" s="449"/>
      <c r="AC71" s="451">
        <f>T73</f>
        <v>500</v>
      </c>
      <c r="AR71" s="406"/>
      <c r="BN71" s="407"/>
    </row>
    <row r="72" ht="40.5" customHeight="1">
      <c r="A72" s="853"/>
      <c r="B72" s="853"/>
      <c r="C72" s="853"/>
      <c r="D72" s="853"/>
      <c r="E72" s="853"/>
      <c r="F72" s="853"/>
      <c r="G72" s="853"/>
      <c r="H72" s="853"/>
      <c r="I72" s="853"/>
      <c r="J72" s="853"/>
      <c r="K72" s="853"/>
      <c r="L72" s="853"/>
      <c r="M72" s="853"/>
      <c r="N72" s="853"/>
      <c r="O72" s="853"/>
      <c r="P72" s="853"/>
      <c r="Q72" s="853"/>
      <c r="R72" s="849"/>
      <c r="S72" s="432" t="s">
        <v>661</v>
      </c>
      <c r="T72" s="446">
        <v>500</v>
      </c>
      <c r="U72" s="449"/>
      <c r="V72" s="449"/>
      <c r="W72" s="449"/>
      <c r="X72" s="449"/>
      <c r="Y72" s="449"/>
      <c r="Z72" s="449"/>
      <c r="AA72" s="449"/>
      <c r="AC72" s="449"/>
      <c r="AR72" s="406"/>
      <c r="BN72" s="407"/>
    </row>
    <row r="73" ht="40.5" customHeight="1">
      <c r="A73" s="853"/>
      <c r="B73" s="853"/>
      <c r="C73" s="853"/>
      <c r="D73" s="853"/>
      <c r="E73" s="853"/>
      <c r="F73" s="853"/>
      <c r="G73" s="853"/>
      <c r="H73" s="853"/>
      <c r="I73" s="853"/>
      <c r="J73" s="853"/>
      <c r="K73" s="853"/>
      <c r="L73" s="853"/>
      <c r="M73" s="853"/>
      <c r="N73" s="853"/>
      <c r="O73" s="853"/>
      <c r="P73" s="853"/>
      <c r="Q73" s="853"/>
      <c r="R73" s="849"/>
      <c r="S73" s="432" t="s">
        <v>664</v>
      </c>
      <c r="T73" s="446">
        <v>500</v>
      </c>
      <c r="U73" s="449"/>
      <c r="V73" s="449"/>
      <c r="X73" s="449"/>
      <c r="Y73" s="449"/>
      <c r="Z73" s="449"/>
      <c r="AA73" s="449"/>
      <c r="AC73" s="449"/>
      <c r="AR73" s="406"/>
      <c r="BN73" s="407"/>
    </row>
    <row r="74" ht="39.75" customHeight="1">
      <c r="A74" s="853"/>
      <c r="B74" s="853"/>
      <c r="C74" s="853"/>
      <c r="D74" s="853"/>
      <c r="E74" s="853"/>
      <c r="F74" s="853"/>
      <c r="G74" s="853"/>
      <c r="H74" s="853"/>
      <c r="I74" s="853"/>
      <c r="J74" s="853"/>
      <c r="K74" s="853"/>
      <c r="L74" s="853"/>
      <c r="M74" s="853"/>
      <c r="N74" s="853"/>
      <c r="O74" s="853"/>
      <c r="P74" s="853"/>
      <c r="Q74" s="853"/>
      <c r="R74" s="849"/>
      <c r="S74" s="449"/>
      <c r="T74" s="449"/>
      <c r="U74" s="449"/>
      <c r="V74" s="449"/>
      <c r="W74" s="449"/>
      <c r="X74" s="449"/>
      <c r="Y74" s="449"/>
      <c r="Z74" s="449"/>
      <c r="AA74" s="449"/>
      <c r="AB74" s="449"/>
      <c r="AC74" s="449"/>
      <c r="AR74" s="406"/>
      <c r="BN74" s="407"/>
    </row>
    <row r="75" ht="39.75" customHeight="1">
      <c r="A75" s="853"/>
      <c r="B75" s="853"/>
      <c r="C75" s="853"/>
      <c r="D75" s="853"/>
      <c r="E75" s="853"/>
      <c r="F75" s="853"/>
      <c r="G75" s="853"/>
      <c r="H75" s="853"/>
      <c r="I75" s="853"/>
      <c r="J75" s="853"/>
      <c r="K75" s="853"/>
      <c r="L75" s="853"/>
      <c r="M75" s="853"/>
      <c r="N75" s="853"/>
      <c r="O75" s="853"/>
      <c r="P75" s="853"/>
      <c r="Q75" s="853"/>
      <c r="R75" s="849"/>
      <c r="S75" s="449"/>
      <c r="T75" s="449"/>
      <c r="U75" s="449"/>
      <c r="V75" s="449"/>
      <c r="W75" s="451">
        <f>T72</f>
        <v>500</v>
      </c>
      <c r="X75" s="449"/>
      <c r="Y75" s="449"/>
      <c r="Z75" s="449"/>
      <c r="AA75" s="449"/>
      <c r="AC75" s="449"/>
      <c r="AR75" s="406"/>
      <c r="BN75" s="407"/>
    </row>
    <row r="76" ht="39.75" customHeight="1">
      <c r="A76" s="853"/>
      <c r="B76" s="853"/>
      <c r="C76" s="853"/>
      <c r="D76" s="853"/>
      <c r="E76" s="853"/>
      <c r="F76" s="853"/>
      <c r="G76" s="853"/>
      <c r="H76" s="853"/>
      <c r="I76" s="853"/>
      <c r="J76" s="853"/>
      <c r="K76" s="853"/>
      <c r="L76" s="853"/>
      <c r="M76" s="853"/>
      <c r="N76" s="853"/>
      <c r="O76" s="853"/>
      <c r="P76" s="853"/>
      <c r="Q76" s="853"/>
      <c r="R76" s="849"/>
      <c r="S76" s="449"/>
      <c r="T76" s="449"/>
      <c r="U76" s="449"/>
      <c r="V76" s="449"/>
      <c r="Y76" s="449"/>
      <c r="Z76" s="449"/>
      <c r="AA76" s="449"/>
      <c r="AB76" s="449"/>
      <c r="AC76" s="449"/>
      <c r="AR76" s="406"/>
      <c r="BN76" s="407"/>
    </row>
    <row r="77" ht="15" customHeight="1">
      <c r="A77" s="489"/>
      <c r="B77" s="489"/>
      <c r="C77" s="489"/>
      <c r="D77" s="489"/>
      <c r="E77" s="489"/>
      <c r="F77" s="489"/>
      <c r="G77" s="489"/>
      <c r="H77" s="489"/>
      <c r="I77" s="489"/>
      <c r="J77" s="489"/>
      <c r="K77" s="489"/>
      <c r="L77" s="489"/>
      <c r="M77" s="489"/>
      <c r="N77" s="489"/>
      <c r="O77" s="489"/>
      <c r="P77" s="489"/>
      <c r="Q77" s="489"/>
      <c r="R77" s="849"/>
      <c r="AR77" s="406"/>
      <c r="BN77" s="407"/>
    </row>
    <row r="78" ht="15" customHeight="1">
      <c r="A78" s="851" t="s">
        <v>440</v>
      </c>
      <c r="B78" s="851"/>
      <c r="C78" s="851"/>
      <c r="D78" s="851"/>
      <c r="E78" s="851"/>
      <c r="F78" s="851"/>
      <c r="G78" s="851"/>
      <c r="H78" s="851"/>
      <c r="I78" s="851"/>
      <c r="J78" s="851"/>
      <c r="K78" s="851"/>
      <c r="L78" s="851"/>
      <c r="M78" s="851"/>
      <c r="N78" s="851"/>
      <c r="O78" s="851"/>
      <c r="P78" s="851"/>
      <c r="Q78" s="851"/>
      <c r="R78" s="849"/>
      <c r="S78" s="490"/>
      <c r="T78" s="490"/>
      <c r="U78" s="490"/>
      <c r="V78" s="490"/>
      <c r="W78" s="490"/>
      <c r="X78" s="490"/>
      <c r="Y78" s="490"/>
      <c r="Z78" s="490"/>
      <c r="AA78" s="490"/>
      <c r="AB78" s="490"/>
      <c r="AC78" s="490"/>
      <c r="AR78" s="406"/>
      <c r="BN78" s="407"/>
    </row>
    <row r="79" ht="38.25" customHeight="1">
      <c r="A79" s="851"/>
      <c r="B79" s="851"/>
      <c r="C79" s="851"/>
      <c r="D79" s="851"/>
      <c r="E79" s="851"/>
      <c r="F79" s="851"/>
      <c r="G79" s="851"/>
      <c r="H79" s="851"/>
      <c r="I79" s="851"/>
      <c r="J79" s="851"/>
      <c r="K79" s="851"/>
      <c r="L79" s="851"/>
      <c r="M79" s="851"/>
      <c r="N79" s="851"/>
      <c r="O79" s="851"/>
      <c r="P79" s="851"/>
      <c r="Q79" s="851"/>
      <c r="R79" s="849"/>
      <c r="AC79" s="406"/>
      <c r="AR79" s="406"/>
      <c r="BB79" s="406"/>
      <c r="BM79" s="407"/>
    </row>
    <row r="80" ht="38.25" customHeight="1">
      <c r="A80" s="851"/>
      <c r="B80" s="851"/>
      <c r="C80" s="851"/>
      <c r="D80" s="851"/>
      <c r="E80" s="851"/>
      <c r="F80" s="851"/>
      <c r="G80" s="851"/>
      <c r="H80" s="851"/>
      <c r="I80" s="851"/>
      <c r="J80" s="851"/>
      <c r="K80" s="851"/>
      <c r="L80" s="851"/>
      <c r="M80" s="851"/>
      <c r="N80" s="851"/>
      <c r="O80" s="851"/>
      <c r="P80" s="851"/>
      <c r="Q80" s="851"/>
      <c r="R80" s="849"/>
      <c r="AR80" s="406"/>
      <c r="BB80" s="406"/>
      <c r="BM80" s="407"/>
    </row>
    <row r="81" ht="38.25" customHeight="1">
      <c r="A81" s="851"/>
      <c r="B81" s="851"/>
      <c r="C81" s="851"/>
      <c r="D81" s="851"/>
      <c r="E81" s="851"/>
      <c r="F81" s="851"/>
      <c r="G81" s="851"/>
      <c r="H81" s="851"/>
      <c r="I81" s="851"/>
      <c r="J81" s="851"/>
      <c r="K81" s="851"/>
      <c r="L81" s="851"/>
      <c r="M81" s="851"/>
      <c r="N81" s="851"/>
      <c r="O81" s="851"/>
      <c r="P81" s="851"/>
      <c r="Q81" s="851"/>
      <c r="R81" s="849"/>
      <c r="AR81" s="406"/>
      <c r="BB81" s="406"/>
      <c r="BM81" s="407"/>
    </row>
    <row r="82" ht="38.25" customHeight="1">
      <c r="A82" s="851"/>
      <c r="B82" s="851"/>
      <c r="C82" s="851"/>
      <c r="D82" s="851"/>
      <c r="E82" s="851"/>
      <c r="F82" s="851"/>
      <c r="G82" s="851"/>
      <c r="H82" s="851"/>
      <c r="I82" s="851"/>
      <c r="J82" s="851"/>
      <c r="K82" s="851"/>
      <c r="L82" s="851"/>
      <c r="M82" s="851"/>
      <c r="N82" s="851"/>
      <c r="O82" s="851"/>
      <c r="P82" s="851"/>
      <c r="Q82" s="851"/>
      <c r="R82" s="849"/>
      <c r="AR82" s="406"/>
      <c r="BB82" s="406"/>
      <c r="BM82" s="407"/>
    </row>
    <row r="83" ht="38.25" customHeight="1">
      <c r="A83" s="851"/>
      <c r="B83" s="851"/>
      <c r="C83" s="851"/>
      <c r="D83" s="851"/>
      <c r="E83" s="851"/>
      <c r="F83" s="851"/>
      <c r="G83" s="851"/>
      <c r="H83" s="851"/>
      <c r="I83" s="851"/>
      <c r="J83" s="851"/>
      <c r="K83" s="851"/>
      <c r="L83" s="851"/>
      <c r="M83" s="851"/>
      <c r="N83" s="851"/>
      <c r="O83" s="851"/>
      <c r="P83" s="851"/>
      <c r="Q83" s="851"/>
      <c r="R83" s="849"/>
      <c r="AR83" s="406"/>
      <c r="BB83" s="406"/>
      <c r="BM83" s="407"/>
    </row>
    <row r="84" ht="38.25" customHeight="1">
      <c r="A84" s="851"/>
      <c r="B84" s="851"/>
      <c r="C84" s="851"/>
      <c r="D84" s="851"/>
      <c r="E84" s="851"/>
      <c r="F84" s="851"/>
      <c r="G84" s="851"/>
      <c r="H84" s="851"/>
      <c r="I84" s="851"/>
      <c r="J84" s="851"/>
      <c r="K84" s="851"/>
      <c r="L84" s="851"/>
      <c r="M84" s="851"/>
      <c r="N84" s="851"/>
      <c r="O84" s="851"/>
      <c r="P84" s="851"/>
      <c r="Q84" s="851"/>
      <c r="R84" s="849"/>
      <c r="AR84" s="406"/>
      <c r="BB84" s="406"/>
      <c r="BM84" s="407"/>
    </row>
    <row r="85" ht="38.25" customHeight="1">
      <c r="A85" s="851"/>
      <c r="B85" s="851"/>
      <c r="C85" s="851"/>
      <c r="D85" s="851"/>
      <c r="E85" s="851"/>
      <c r="F85" s="851"/>
      <c r="G85" s="851"/>
      <c r="H85" s="851"/>
      <c r="I85" s="851"/>
      <c r="J85" s="851"/>
      <c r="K85" s="851"/>
      <c r="L85" s="851"/>
      <c r="M85" s="851"/>
      <c r="N85" s="851"/>
      <c r="O85" s="851"/>
      <c r="P85" s="851"/>
      <c r="Q85" s="851"/>
      <c r="R85" s="849"/>
      <c r="AR85" s="406"/>
      <c r="BB85" s="406"/>
      <c r="BM85" s="407"/>
    </row>
    <row r="86" ht="38.25" customHeight="1">
      <c r="A86" s="851"/>
      <c r="B86" s="851"/>
      <c r="C86" s="851"/>
      <c r="D86" s="851"/>
      <c r="E86" s="851"/>
      <c r="F86" s="851"/>
      <c r="G86" s="851"/>
      <c r="H86" s="851"/>
      <c r="I86" s="851"/>
      <c r="J86" s="851"/>
      <c r="K86" s="851"/>
      <c r="L86" s="851"/>
      <c r="M86" s="851"/>
      <c r="N86" s="851"/>
      <c r="O86" s="851"/>
      <c r="P86" s="851"/>
      <c r="Q86" s="851"/>
      <c r="R86" s="849"/>
      <c r="AR86" s="406"/>
      <c r="BB86" s="406"/>
      <c r="BM86" s="407"/>
    </row>
    <row r="87" ht="38.25" customHeight="1">
      <c r="A87" s="851"/>
      <c r="B87" s="851"/>
      <c r="C87" s="851"/>
      <c r="D87" s="851"/>
      <c r="E87" s="851"/>
      <c r="F87" s="851"/>
      <c r="G87" s="851"/>
      <c r="H87" s="851"/>
      <c r="I87" s="851"/>
      <c r="J87" s="851"/>
      <c r="K87" s="851"/>
      <c r="L87" s="851"/>
      <c r="M87" s="851"/>
      <c r="N87" s="851"/>
      <c r="O87" s="851"/>
      <c r="P87" s="851"/>
      <c r="Q87" s="851"/>
      <c r="R87" s="849"/>
      <c r="AR87" s="406"/>
      <c r="BB87" s="406"/>
      <c r="BM87" s="407"/>
    </row>
    <row r="88" ht="38.25" customHeight="1">
      <c r="A88" s="851"/>
      <c r="B88" s="851"/>
      <c r="C88" s="851"/>
      <c r="D88" s="851"/>
      <c r="E88" s="851"/>
      <c r="F88" s="851"/>
      <c r="G88" s="851"/>
      <c r="H88" s="851"/>
      <c r="I88" s="851"/>
      <c r="J88" s="851"/>
      <c r="K88" s="851"/>
      <c r="L88" s="851"/>
      <c r="M88" s="851"/>
      <c r="N88" s="851"/>
      <c r="O88" s="851"/>
      <c r="P88" s="851"/>
      <c r="Q88" s="851"/>
      <c r="R88" s="849"/>
      <c r="AR88" s="406"/>
      <c r="BB88" s="406"/>
      <c r="BM88" s="407"/>
    </row>
    <row r="89" ht="38.25" customHeight="1">
      <c r="A89" s="851"/>
      <c r="B89" s="851"/>
      <c r="C89" s="851"/>
      <c r="D89" s="851"/>
      <c r="E89" s="851"/>
      <c r="F89" s="851"/>
      <c r="G89" s="851"/>
      <c r="H89" s="851"/>
      <c r="I89" s="851"/>
      <c r="J89" s="851"/>
      <c r="K89" s="851"/>
      <c r="L89" s="851"/>
      <c r="M89" s="851"/>
      <c r="N89" s="851"/>
      <c r="O89" s="851"/>
      <c r="P89" s="851"/>
      <c r="Q89" s="851"/>
      <c r="R89" s="849"/>
      <c r="AR89" s="406"/>
      <c r="BB89" s="406"/>
      <c r="BM89" s="407"/>
    </row>
    <row r="90" ht="38.25" customHeight="1">
      <c r="A90" s="851"/>
      <c r="B90" s="851"/>
      <c r="C90" s="851"/>
      <c r="D90" s="851"/>
      <c r="E90" s="851"/>
      <c r="F90" s="851"/>
      <c r="G90" s="851"/>
      <c r="H90" s="851"/>
      <c r="I90" s="851"/>
      <c r="J90" s="851"/>
      <c r="K90" s="851"/>
      <c r="L90" s="851"/>
      <c r="M90" s="851"/>
      <c r="N90" s="851"/>
      <c r="O90" s="851"/>
      <c r="P90" s="851"/>
      <c r="Q90" s="851"/>
      <c r="R90" s="849"/>
      <c r="AR90" s="406"/>
      <c r="BB90" s="406"/>
      <c r="BM90" s="407"/>
    </row>
    <row r="91" ht="38.25" customHeight="1">
      <c r="A91" s="851"/>
      <c r="B91" s="851"/>
      <c r="C91" s="851"/>
      <c r="D91" s="851"/>
      <c r="E91" s="851"/>
      <c r="F91" s="851"/>
      <c r="G91" s="851"/>
      <c r="H91" s="851"/>
      <c r="I91" s="851"/>
      <c r="J91" s="851"/>
      <c r="K91" s="851"/>
      <c r="L91" s="851"/>
      <c r="M91" s="851"/>
      <c r="N91" s="851"/>
      <c r="O91" s="851"/>
      <c r="P91" s="851"/>
      <c r="Q91" s="851"/>
      <c r="R91" s="849"/>
      <c r="AR91" s="406"/>
      <c r="BB91" s="406"/>
      <c r="BM91" s="407"/>
    </row>
    <row r="92" ht="38.25" customHeight="1">
      <c r="A92" s="851"/>
      <c r="B92" s="851"/>
      <c r="C92" s="851"/>
      <c r="D92" s="851"/>
      <c r="E92" s="851"/>
      <c r="F92" s="851"/>
      <c r="G92" s="851"/>
      <c r="H92" s="851"/>
      <c r="I92" s="851"/>
      <c r="J92" s="851"/>
      <c r="K92" s="851"/>
      <c r="L92" s="851"/>
      <c r="M92" s="851"/>
      <c r="N92" s="851"/>
      <c r="O92" s="851"/>
      <c r="P92" s="851"/>
      <c r="Q92" s="851"/>
      <c r="R92" s="849"/>
      <c r="AR92" s="406"/>
      <c r="BB92" s="406"/>
      <c r="BM92" s="407"/>
    </row>
    <row r="93" ht="38.25" customHeight="1">
      <c r="A93" s="851"/>
      <c r="B93" s="851"/>
      <c r="C93" s="851"/>
      <c r="D93" s="851"/>
      <c r="E93" s="851"/>
      <c r="F93" s="851"/>
      <c r="G93" s="851"/>
      <c r="H93" s="851"/>
      <c r="I93" s="851"/>
      <c r="J93" s="851"/>
      <c r="K93" s="851"/>
      <c r="L93" s="851"/>
      <c r="M93" s="851"/>
      <c r="N93" s="851"/>
      <c r="O93" s="851"/>
      <c r="P93" s="851"/>
      <c r="Q93" s="851"/>
      <c r="R93" s="849"/>
      <c r="AR93" s="406"/>
      <c r="BB93" s="406"/>
      <c r="BM93" s="407"/>
    </row>
    <row r="94" ht="38.25" customHeight="1">
      <c r="A94" s="851"/>
      <c r="B94" s="851"/>
      <c r="C94" s="851"/>
      <c r="D94" s="851"/>
      <c r="E94" s="851"/>
      <c r="F94" s="851"/>
      <c r="G94" s="851"/>
      <c r="H94" s="851"/>
      <c r="I94" s="851"/>
      <c r="J94" s="851"/>
      <c r="K94" s="851"/>
      <c r="L94" s="851"/>
      <c r="M94" s="851"/>
      <c r="N94" s="851"/>
      <c r="O94" s="851"/>
      <c r="P94" s="851"/>
      <c r="Q94" s="851"/>
      <c r="R94" s="849"/>
      <c r="AR94" s="406"/>
      <c r="BB94" s="406"/>
      <c r="BM94" s="407"/>
    </row>
    <row r="95" ht="38.25" customHeight="1">
      <c r="A95" s="851"/>
      <c r="B95" s="851"/>
      <c r="C95" s="851"/>
      <c r="D95" s="851"/>
      <c r="E95" s="851"/>
      <c r="F95" s="851"/>
      <c r="G95" s="851"/>
      <c r="H95" s="851"/>
      <c r="I95" s="851"/>
      <c r="J95" s="851"/>
      <c r="K95" s="851"/>
      <c r="L95" s="851"/>
      <c r="M95" s="851"/>
      <c r="N95" s="851"/>
      <c r="O95" s="851"/>
      <c r="P95" s="851"/>
      <c r="Q95" s="851"/>
      <c r="R95" s="849"/>
      <c r="AR95" s="406"/>
      <c r="BB95" s="406"/>
      <c r="BM95" s="407"/>
    </row>
    <row r="96" ht="38.25" customHeight="1">
      <c r="A96" s="851"/>
      <c r="B96" s="851"/>
      <c r="C96" s="851"/>
      <c r="D96" s="851"/>
      <c r="E96" s="851"/>
      <c r="F96" s="851"/>
      <c r="G96" s="851"/>
      <c r="H96" s="851"/>
      <c r="I96" s="851"/>
      <c r="J96" s="851"/>
      <c r="K96" s="851"/>
      <c r="L96" s="851"/>
      <c r="M96" s="851"/>
      <c r="N96" s="851"/>
      <c r="O96" s="851"/>
      <c r="P96" s="851"/>
      <c r="Q96" s="851"/>
      <c r="R96" s="849"/>
      <c r="AR96" s="406"/>
      <c r="BB96" s="406"/>
      <c r="BM96" s="407"/>
    </row>
    <row r="97" ht="39" customHeight="1">
      <c r="A97" s="851"/>
      <c r="B97" s="851"/>
      <c r="C97" s="851"/>
      <c r="D97" s="851"/>
      <c r="E97" s="851"/>
      <c r="F97" s="851"/>
      <c r="G97" s="851"/>
      <c r="H97" s="851"/>
      <c r="I97" s="851"/>
      <c r="J97" s="851"/>
      <c r="K97" s="851"/>
      <c r="L97" s="851"/>
      <c r="M97" s="851"/>
      <c r="N97" s="851"/>
      <c r="O97" s="851"/>
      <c r="P97" s="851"/>
      <c r="Q97" s="851"/>
      <c r="R97" s="849"/>
      <c r="AR97" s="406"/>
      <c r="BB97" s="406"/>
      <c r="BM97" s="407"/>
    </row>
    <row r="98" ht="39" customHeight="1">
      <c r="A98" s="851" t="s">
        <v>698</v>
      </c>
      <c r="B98" s="851"/>
      <c r="C98" s="851"/>
      <c r="D98" s="851"/>
      <c r="E98" s="851"/>
      <c r="F98" s="851"/>
      <c r="G98" s="851"/>
      <c r="H98" s="851"/>
      <c r="I98" s="851"/>
      <c r="J98" s="851"/>
      <c r="K98" s="851"/>
      <c r="L98" s="851"/>
      <c r="M98" s="851"/>
      <c r="N98" s="851"/>
      <c r="O98" s="851"/>
      <c r="P98" s="851"/>
      <c r="Q98" s="851"/>
      <c r="R98" s="849"/>
      <c r="AR98" s="406"/>
      <c r="BN98" s="407"/>
    </row>
    <row r="99" ht="39" customHeight="1">
      <c r="A99" s="851"/>
      <c r="B99" s="851"/>
      <c r="C99" s="851"/>
      <c r="D99" s="851"/>
      <c r="E99" s="851"/>
      <c r="F99" s="851"/>
      <c r="G99" s="851"/>
      <c r="H99" s="851"/>
      <c r="I99" s="851"/>
      <c r="J99" s="851"/>
      <c r="K99" s="851"/>
      <c r="L99" s="851"/>
      <c r="M99" s="851"/>
      <c r="N99" s="851"/>
      <c r="O99" s="851"/>
      <c r="P99" s="851"/>
      <c r="Q99" s="851"/>
      <c r="R99" s="849"/>
      <c r="AR99" s="406"/>
      <c r="BN99" s="407"/>
    </row>
    <row r="100" ht="39" customHeight="1">
      <c r="A100" s="851"/>
      <c r="B100" s="851"/>
      <c r="C100" s="851"/>
      <c r="D100" s="851"/>
      <c r="E100" s="851"/>
      <c r="F100" s="851"/>
      <c r="G100" s="851"/>
      <c r="H100" s="851"/>
      <c r="I100" s="851"/>
      <c r="J100" s="851"/>
      <c r="K100" s="851"/>
      <c r="L100" s="851"/>
      <c r="M100" s="851"/>
      <c r="N100" s="851"/>
      <c r="O100" s="851"/>
      <c r="P100" s="851"/>
      <c r="Q100" s="851"/>
      <c r="R100" s="849"/>
      <c r="AR100" s="406"/>
      <c r="BN100" s="407"/>
    </row>
    <row r="101" ht="39" customHeight="1">
      <c r="A101" s="851"/>
      <c r="B101" s="851"/>
      <c r="C101" s="851"/>
      <c r="D101" s="851"/>
      <c r="E101" s="851"/>
      <c r="F101" s="851"/>
      <c r="G101" s="851"/>
      <c r="H101" s="851"/>
      <c r="I101" s="851"/>
      <c r="J101" s="851"/>
      <c r="K101" s="851"/>
      <c r="L101" s="851"/>
      <c r="M101" s="851"/>
      <c r="N101" s="851"/>
      <c r="O101" s="851"/>
      <c r="P101" s="851"/>
      <c r="Q101" s="851"/>
      <c r="R101" s="849"/>
      <c r="AR101" s="406"/>
      <c r="BN101" s="407"/>
    </row>
    <row r="102" ht="39" customHeight="1">
      <c r="A102" s="851"/>
      <c r="B102" s="851"/>
      <c r="C102" s="851"/>
      <c r="D102" s="851"/>
      <c r="E102" s="851"/>
      <c r="F102" s="851"/>
      <c r="G102" s="851"/>
      <c r="H102" s="851"/>
      <c r="I102" s="851"/>
      <c r="J102" s="851"/>
      <c r="K102" s="851"/>
      <c r="L102" s="851"/>
      <c r="M102" s="851"/>
      <c r="N102" s="851"/>
      <c r="O102" s="851"/>
      <c r="P102" s="851"/>
      <c r="Q102" s="851"/>
      <c r="R102" s="849"/>
      <c r="AR102" s="406"/>
      <c r="BN102" s="407"/>
    </row>
    <row r="103" ht="39" customHeight="1">
      <c r="A103" s="851"/>
      <c r="B103" s="851"/>
      <c r="C103" s="851"/>
      <c r="D103" s="851"/>
      <c r="E103" s="851"/>
      <c r="F103" s="851"/>
      <c r="G103" s="851"/>
      <c r="H103" s="851"/>
      <c r="I103" s="851"/>
      <c r="J103" s="851"/>
      <c r="K103" s="851"/>
      <c r="L103" s="851"/>
      <c r="M103" s="851"/>
      <c r="N103" s="851"/>
      <c r="O103" s="851"/>
      <c r="P103" s="851"/>
      <c r="Q103" s="851"/>
      <c r="R103" s="849"/>
      <c r="AR103" s="406"/>
      <c r="BN103" s="407"/>
    </row>
    <row r="104" ht="39" customHeight="1">
      <c r="A104" s="851"/>
      <c r="B104" s="851"/>
      <c r="C104" s="851"/>
      <c r="D104" s="851"/>
      <c r="E104" s="851"/>
      <c r="F104" s="851"/>
      <c r="G104" s="851"/>
      <c r="H104" s="851"/>
      <c r="I104" s="851"/>
      <c r="J104" s="851"/>
      <c r="K104" s="851"/>
      <c r="L104" s="851"/>
      <c r="M104" s="851"/>
      <c r="N104" s="851"/>
      <c r="O104" s="851"/>
      <c r="P104" s="851"/>
      <c r="Q104" s="851"/>
      <c r="R104" s="849"/>
      <c r="AR104" s="406"/>
      <c r="BN104" s="407"/>
    </row>
    <row r="105" ht="39" customHeight="1">
      <c r="A105" s="851"/>
      <c r="B105" s="851"/>
      <c r="C105" s="851"/>
      <c r="D105" s="851"/>
      <c r="E105" s="851"/>
      <c r="F105" s="851"/>
      <c r="G105" s="851"/>
      <c r="H105" s="851"/>
      <c r="I105" s="851"/>
      <c r="J105" s="851"/>
      <c r="K105" s="851"/>
      <c r="L105" s="851"/>
      <c r="M105" s="851"/>
      <c r="N105" s="851"/>
      <c r="O105" s="851"/>
      <c r="P105" s="851"/>
      <c r="Q105" s="851"/>
      <c r="R105" s="849"/>
      <c r="AR105" s="406"/>
      <c r="BN105" s="407"/>
    </row>
    <row r="106" ht="39" customHeight="1">
      <c r="A106" s="851"/>
      <c r="B106" s="851"/>
      <c r="C106" s="851"/>
      <c r="D106" s="851"/>
      <c r="E106" s="851"/>
      <c r="F106" s="851"/>
      <c r="G106" s="851"/>
      <c r="H106" s="851"/>
      <c r="I106" s="851"/>
      <c r="J106" s="851"/>
      <c r="K106" s="851"/>
      <c r="L106" s="851"/>
      <c r="M106" s="851"/>
      <c r="N106" s="851"/>
      <c r="O106" s="851"/>
      <c r="P106" s="851"/>
      <c r="Q106" s="851"/>
      <c r="R106" s="849"/>
      <c r="AR106" s="406"/>
      <c r="BN106" s="407"/>
    </row>
    <row r="107" ht="39" customHeight="1">
      <c r="A107" s="851"/>
      <c r="B107" s="851"/>
      <c r="C107" s="851"/>
      <c r="D107" s="851"/>
      <c r="E107" s="851"/>
      <c r="F107" s="851"/>
      <c r="G107" s="851"/>
      <c r="H107" s="851"/>
      <c r="I107" s="851"/>
      <c r="J107" s="851"/>
      <c r="K107" s="851"/>
      <c r="L107" s="851"/>
      <c r="M107" s="851"/>
      <c r="N107" s="851"/>
      <c r="O107" s="851"/>
      <c r="P107" s="851"/>
      <c r="Q107" s="851"/>
      <c r="R107" s="849"/>
      <c r="AR107" s="406"/>
      <c r="BN107" s="407"/>
    </row>
    <row r="108" ht="39" customHeight="1">
      <c r="A108" s="851"/>
      <c r="B108" s="851"/>
      <c r="C108" s="851"/>
      <c r="D108" s="851"/>
      <c r="E108" s="851"/>
      <c r="F108" s="851"/>
      <c r="G108" s="851"/>
      <c r="H108" s="851"/>
      <c r="I108" s="851"/>
      <c r="J108" s="851"/>
      <c r="K108" s="851"/>
      <c r="L108" s="851"/>
      <c r="M108" s="851"/>
      <c r="N108" s="851"/>
      <c r="O108" s="851"/>
      <c r="P108" s="851"/>
      <c r="Q108" s="851"/>
      <c r="R108" s="849"/>
      <c r="AR108" s="406"/>
      <c r="BN108" s="407"/>
    </row>
    <row r="109" ht="39" customHeight="1">
      <c r="A109" s="851"/>
      <c r="B109" s="851"/>
      <c r="C109" s="851"/>
      <c r="D109" s="851"/>
      <c r="E109" s="851"/>
      <c r="F109" s="851"/>
      <c r="G109" s="851"/>
      <c r="H109" s="851"/>
      <c r="I109" s="851"/>
      <c r="J109" s="851"/>
      <c r="K109" s="851"/>
      <c r="L109" s="851"/>
      <c r="M109" s="851"/>
      <c r="N109" s="851"/>
      <c r="O109" s="851"/>
      <c r="P109" s="851"/>
      <c r="Q109" s="851"/>
      <c r="R109" s="849"/>
      <c r="AR109" s="406"/>
      <c r="BN109" s="407"/>
    </row>
    <row r="110" ht="39" customHeight="1">
      <c r="A110" s="851"/>
      <c r="B110" s="851"/>
      <c r="C110" s="851"/>
      <c r="D110" s="851"/>
      <c r="E110" s="851"/>
      <c r="F110" s="851"/>
      <c r="G110" s="851"/>
      <c r="H110" s="851"/>
      <c r="I110" s="851"/>
      <c r="J110" s="851"/>
      <c r="K110" s="851"/>
      <c r="L110" s="851"/>
      <c r="M110" s="851"/>
      <c r="N110" s="851"/>
      <c r="O110" s="851"/>
      <c r="P110" s="851"/>
      <c r="Q110" s="851"/>
      <c r="R110" s="849"/>
      <c r="AR110" s="406"/>
      <c r="BN110" s="407"/>
    </row>
    <row r="111" ht="39" customHeight="1">
      <c r="A111" s="851"/>
      <c r="B111" s="851"/>
      <c r="C111" s="851"/>
      <c r="D111" s="851"/>
      <c r="E111" s="851"/>
      <c r="F111" s="851"/>
      <c r="G111" s="851"/>
      <c r="H111" s="851"/>
      <c r="I111" s="851"/>
      <c r="J111" s="851"/>
      <c r="K111" s="851"/>
      <c r="L111" s="851"/>
      <c r="M111" s="851"/>
      <c r="N111" s="851"/>
      <c r="O111" s="851"/>
      <c r="P111" s="851"/>
      <c r="Q111" s="851"/>
      <c r="R111" s="849"/>
      <c r="AR111" s="406"/>
      <c r="BN111" s="407"/>
    </row>
    <row r="112" ht="39" customHeight="1">
      <c r="A112" s="851"/>
      <c r="B112" s="851"/>
      <c r="C112" s="851"/>
      <c r="D112" s="851"/>
      <c r="E112" s="851"/>
      <c r="F112" s="851"/>
      <c r="G112" s="851"/>
      <c r="H112" s="851"/>
      <c r="I112" s="851"/>
      <c r="J112" s="851"/>
      <c r="K112" s="851"/>
      <c r="L112" s="851"/>
      <c r="M112" s="851"/>
      <c r="N112" s="851"/>
      <c r="O112" s="851"/>
      <c r="P112" s="851"/>
      <c r="Q112" s="851"/>
      <c r="R112" s="849"/>
      <c r="AR112" s="406"/>
      <c r="BN112" s="407"/>
    </row>
    <row r="113" ht="39" customHeight="1">
      <c r="A113" s="851"/>
      <c r="B113" s="851"/>
      <c r="C113" s="851"/>
      <c r="D113" s="851"/>
      <c r="E113" s="851"/>
      <c r="F113" s="851"/>
      <c r="G113" s="851"/>
      <c r="H113" s="851"/>
      <c r="I113" s="851"/>
      <c r="J113" s="851"/>
      <c r="K113" s="851"/>
      <c r="L113" s="851"/>
      <c r="M113" s="851"/>
      <c r="N113" s="851"/>
      <c r="O113" s="851"/>
      <c r="P113" s="851"/>
      <c r="Q113" s="851"/>
      <c r="R113" s="849"/>
      <c r="AR113" s="406"/>
      <c r="BN113" s="407"/>
    </row>
    <row r="114" ht="39" customHeight="1">
      <c r="A114" s="851"/>
      <c r="B114" s="851"/>
      <c r="C114" s="851"/>
      <c r="D114" s="851"/>
      <c r="E114" s="851"/>
      <c r="F114" s="851"/>
      <c r="G114" s="851"/>
      <c r="H114" s="851"/>
      <c r="I114" s="851"/>
      <c r="J114" s="851"/>
      <c r="K114" s="851"/>
      <c r="L114" s="851"/>
      <c r="M114" s="851"/>
      <c r="N114" s="851"/>
      <c r="O114" s="851"/>
      <c r="P114" s="851"/>
      <c r="Q114" s="851"/>
      <c r="R114" s="849"/>
      <c r="AR114" s="406"/>
      <c r="BN114" s="407"/>
    </row>
    <row r="115" ht="39" customHeight="1">
      <c r="A115" s="851"/>
      <c r="B115" s="851"/>
      <c r="C115" s="851"/>
      <c r="D115" s="851"/>
      <c r="E115" s="851"/>
      <c r="F115" s="851"/>
      <c r="G115" s="851"/>
      <c r="H115" s="851"/>
      <c r="I115" s="851"/>
      <c r="J115" s="851"/>
      <c r="K115" s="851"/>
      <c r="L115" s="851"/>
      <c r="M115" s="851"/>
      <c r="N115" s="851"/>
      <c r="O115" s="851"/>
      <c r="P115" s="851"/>
      <c r="Q115" s="851"/>
      <c r="R115" s="849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BN157" s="407"/>
    </row>
    <row r="158">
      <c r="BN158" s="407"/>
    </row>
    <row r="159">
      <c r="BN159" s="407"/>
    </row>
    <row r="160">
      <c r="BN160" s="407"/>
    </row>
    <row r="161">
      <c r="BN161" s="407"/>
    </row>
    <row r="162">
      <c r="BN162" s="407"/>
    </row>
    <row r="163">
      <c r="BN163" s="407"/>
    </row>
    <row r="164">
      <c r="BN164" s="407"/>
    </row>
    <row r="165">
      <c r="BN165" s="407"/>
    </row>
    <row r="166">
      <c r="BN166" s="407"/>
    </row>
    <row r="167">
      <c r="BN167" s="407"/>
    </row>
    <row r="168">
      <c r="BN168" s="407"/>
    </row>
    <row r="169">
      <c r="BN169" s="407"/>
    </row>
    <row r="170">
      <c r="BN170" s="407"/>
    </row>
    <row r="171">
      <c r="BN171" s="407"/>
    </row>
    <row r="172">
      <c r="BN172" s="407"/>
    </row>
    <row r="173">
      <c r="BN173" s="407"/>
    </row>
    <row r="174">
      <c r="BN174" s="407"/>
    </row>
    <row r="175">
      <c r="BN175" s="407"/>
    </row>
    <row r="176">
      <c r="BN176" s="407"/>
    </row>
    <row r="177">
      <c r="BN177" s="407"/>
    </row>
    <row r="178">
      <c r="BN178" s="407"/>
    </row>
    <row r="179">
      <c r="BN179" s="407"/>
    </row>
    <row r="180">
      <c r="BN180" s="407"/>
    </row>
    <row r="181">
      <c r="BN181" s="407"/>
    </row>
    <row r="182">
      <c r="BN182" s="407"/>
    </row>
    <row r="183">
      <c r="BN183" s="407"/>
    </row>
    <row r="184">
      <c r="BN184" s="407"/>
    </row>
    <row r="185">
      <c r="BN185" s="407"/>
    </row>
  </sheetData>
  <sheetProtection autoFilter="0"/>
  <mergeCells>
    <mergeCell ref="AN28:AN29"/>
    <mergeCell ref="AN26:AN27"/>
    <mergeCell ref="AF26:AF27"/>
    <mergeCell ref="AF28:AF29"/>
    <mergeCell ref="A1:Q7"/>
    <mergeCell ref="J8:L10"/>
    <mergeCell ref="B8:D10"/>
    <mergeCell ref="N8:P10"/>
    <mergeCell ref="F8:H10"/>
    <mergeCell ref="I8:I10"/>
    <mergeCell ref="M8:M10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98:Q115"/>
    <mergeCell ref="A78:Q97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J28:AJ29"/>
    <mergeCell ref="AK26:AK27"/>
    <mergeCell ref="AE23:AF24"/>
    <mergeCell ref="AG23:AH24"/>
    <mergeCell ref="AE20:AQ21"/>
    <mergeCell ref="AF45:AG47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L13:AN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AO50:AP50"/>
    <mergeCell ref="AO46:AP49"/>
    <mergeCell ref="AH48:AL48"/>
    <mergeCell ref="AM48:AN48"/>
    <mergeCell ref="AH49:AL49"/>
    <mergeCell ref="AM49:AN51"/>
    <mergeCell ref="AH50:AL50"/>
    <mergeCell ref="AH51:AL51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AI17</xm:sqref>
        </x14:dataValidation>
        <x14:dataValidation type="list" allowBlank="1" showInputMessage="1" showErrorMessage="1" xr:uid="{00000000-0002-0000-0100-000006000000}">
          <x14:formula1>
            <xm:f>'شماسي كانتليفر'!$K$6:$K$8</xm:f>
          </x14:formula1>
          <xm:sqref>AM8 AJ28:AJ29 AM17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AL17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T64 T46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 AG38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 AI38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T71 T53 T32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AJ17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AK17</xm:sqref>
        </x14:dataValidation>
        <x14:dataValidation type="list" allowBlank="1" showInputMessage="1" showErrorMessage="1" xr:uid="{B3E34DE5-F662-4B8F-89D7-812DC03A57AD}">
          <x14:formula1>
            <xm:f>'شماسي كانتليفر'!$F$27:$F$29</xm:f>
          </x14:formula1>
          <xm:sqref>AJ38:AJ39</xm:sqref>
        </x14:dataValidation>
        <x14:dataValidation type="list" allowBlank="1" showInputMessage="1" showErrorMessage="1" xr:uid="{1367DDDD-B9CB-4BD2-B1AB-917503FB1AD0}">
          <x14:formula1>
            <xm:f>'شماسي كانتليفر'!$F$30:$F$31</xm:f>
          </x14:formula1>
          <xm:sqref>AK38:AK39</xm:sqref>
        </x14:dataValidation>
        <x14:dataValidation type="list" allowBlank="1" showInputMessage="1" showErrorMessage="1" xr:uid="{8B6513AA-263E-4368-985A-19C0D2538149}">
          <x14:formula1>
            <xm:f>'شماسي كانتليفر'!$F$25:$F$26</xm:f>
          </x14:formula1>
          <xm:sqref>AL38:AL39 AN28:AN29</xm:sqref>
        </x14:dataValidation>
        <x14:dataValidation type="list" allowBlank="1" showInputMessage="1" showErrorMessage="1" xr:uid="{F9323624-2CCA-4F8A-987F-4E657DDC1563}">
          <x14:formula1>
            <xm:f>'PERG. CS.'!$AF$1:$AF$8</xm:f>
          </x14:formula1>
          <xm:sqref>AH46</xm:sqref>
        </x14:dataValidation>
        <x14:dataValidation type="list" allowBlank="1" showInputMessage="1" showErrorMessage="1" xr:uid="{D854BE91-C371-4488-827F-B34A1770C618}">
          <x14:formula1>
            <xm:f>'PERG. CS.'!$AG$1:$AG$9</xm:f>
          </x14:formula1>
          <xm:sqref>AI46:AJ46</xm:sqref>
        </x14:dataValidation>
        <x14:dataValidation type="list" allowBlank="1" showInputMessage="1" showErrorMessage="1" xr:uid="{F28600F3-165C-4927-881B-168B89EB9918}">
          <x14:formula1>
            <xm:f>'PERG. CS.'!$AI$1:$AI$2</xm:f>
          </x14:formula1>
          <xm:sqref>AK46:AL46</xm:sqref>
        </x14:dataValidation>
        <x14:dataValidation type="list" allowBlank="1" showInputMessage="1" showErrorMessage="1" xr:uid="{07DB8C56-4C01-4001-AE94-8707A71BC680}">
          <x14:formula1>
            <xm:f>Sheet2!$B$5:$B$6</xm:f>
          </x14:formula1>
          <xm:sqref>T25</xm:sqref>
        </x14:dataValidation>
        <x14:dataValidation type="list" allowBlank="1" showInputMessage="1" showErrorMessage="1" xr:uid="{00000000-0002-0000-0100-000010000000}">
          <x14:formula1>
            <xm:f>Sheet2!$A$5:$A$6</xm:f>
          </x14:formula1>
          <xm:sqref>U31</xm:sqref>
        </x14:dataValidation>
        <x14:dataValidation type="list" allowBlank="1" showInputMessage="1" showErrorMessage="1" xr:uid="{865D5F75-3ADF-4D74-B4D5-18F45E49F4A5}">
          <x14:formula1>
            <xm:f>'شماسي كانتليفر'!$K$10:$K$14</xm:f>
          </x14:formula1>
          <xm:sqref>AF28:AF29</xm:sqref>
        </x14:dataValidation>
        <x14:dataValidation type="list" allowBlank="1" showInputMessage="1" showErrorMessage="1" xr:uid="{901CC6CB-FA0D-4ED1-ACAC-7FE26E42B271}">
          <x14:formula1>
            <xm:f>'شماسي و كانتليفر'!$S$3:$S$8</xm:f>
          </x14:formula1>
          <xm:sqref>AH28:AH29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09" t="s">
        <v>574</v>
      </c>
      <c r="B1" s="1110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1111"/>
      <c r="B2" s="1112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1111"/>
      <c r="B3" s="1112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1111"/>
      <c r="B4" s="1112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1111"/>
      <c r="B5" s="1112"/>
      <c r="H5" s="18"/>
      <c r="K5" s="1" t="s">
        <v>583</v>
      </c>
      <c r="L5" s="10" t="s">
        <v>584</v>
      </c>
    </row>
    <row r="6">
      <c r="A6" s="1111"/>
      <c r="B6" s="1112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1113"/>
      <c r="B7" s="1114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15" t="s">
        <v>588</v>
      </c>
      <c r="B10" s="1116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1117"/>
      <c r="B11" s="1118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1117"/>
      <c r="B12" s="1118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1117"/>
      <c r="B13" s="1118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1117"/>
      <c r="B14" s="1118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1117"/>
      <c r="B15" s="1118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559</v>
      </c>
      <c r="R15" s="10" t="s">
        <v>589</v>
      </c>
    </row>
    <row r="16">
      <c r="A16" s="1119"/>
      <c r="B16" s="1120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1121" t="s">
        <v>590</v>
      </c>
      <c r="B19" s="1122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1123"/>
      <c r="B20" s="1124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1123"/>
      <c r="B21" s="1124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1123"/>
      <c r="B22" s="1124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1123"/>
      <c r="B23" s="1124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1123"/>
      <c r="B24" s="1124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25"/>
      <c r="B25" s="1126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392</v>
      </c>
      <c r="K2" s="1" t="s">
        <v>591</v>
      </c>
      <c r="O2" s="1" t="s">
        <v>592</v>
      </c>
    </row>
    <row r="3">
      <c r="A3" s="1" t="s">
        <v>373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392</v>
      </c>
      <c r="B6" s="1">
        <f>'Cutting Ro-1'!L14</f>
        <v>5</v>
      </c>
      <c r="C6" s="1" t="s">
        <v>394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898" t="s">
        <v>596</v>
      </c>
      <c r="D10" s="89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898" t="s">
        <v>596</v>
      </c>
      <c r="D11" s="89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373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1127" t="s">
        <v>602</v>
      </c>
      <c r="I7" s="1127"/>
      <c r="J7" s="1127"/>
      <c r="K7" s="1128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1127"/>
      <c r="I8" s="1127"/>
      <c r="J8" s="1127"/>
      <c r="K8" s="1128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1127"/>
      <c r="I9" s="1127"/>
      <c r="J9" s="1127"/>
      <c r="K9" s="1128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1127" t="s">
        <v>606</v>
      </c>
      <c r="I15" s="1127"/>
      <c r="J15" s="1127"/>
      <c r="K15" s="1128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1127"/>
      <c r="I16" s="1127"/>
      <c r="J16" s="1127"/>
      <c r="K16" s="1128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1127"/>
      <c r="I17" s="1127"/>
      <c r="J17" s="1127"/>
      <c r="K17" s="1128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39"/>
  <sheetViews>
    <sheetView rightToLeft="1" zoomScale="55" zoomScaleNormal="55" workbookViewId="0">
      <selection activeCell="G9" sqref="G9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868" t="s">
        <v>699</v>
      </c>
      <c r="B1" s="868"/>
      <c r="C1" s="598" t="s">
        <v>700</v>
      </c>
      <c r="D1" s="597" t="str">
        <f>تسعير!AJ28</f>
        <v>تركي</v>
      </c>
      <c r="E1" s="598" t="s">
        <v>701</v>
      </c>
      <c r="F1" s="597" t="str">
        <f>تسعير!AI28</f>
        <v>سادة</v>
      </c>
      <c r="G1" s="598" t="s">
        <v>249</v>
      </c>
      <c r="H1" s="597" t="s">
        <v>702</v>
      </c>
      <c r="I1" s="596">
        <f>IF(تسعير!AG28="قطاعي",Table1381[[#Totals],[التكلفة]]*1.35,IF(تسعير!AG28="جملة",Table1381[[#Totals],[التكلفة]]*1.25,IF(تسعير!AG28="نصف جملة",Table1381[[#Totals],[التكلفة]]*1.3,0)))</f>
        <v>26537.384700000002</v>
      </c>
      <c r="O1" s="615"/>
      <c r="P1" s="0" t="s">
        <v>665</v>
      </c>
      <c r="Q1" s="603" t="str">
        <f>تسعير!AH28</f>
        <v>4*4</v>
      </c>
      <c r="R1" s="601" t="s">
        <v>703</v>
      </c>
      <c r="S1" s="600" t="str">
        <f>تسعير!AJ28</f>
        <v>تركي</v>
      </c>
      <c r="T1" s="602">
        <f>IF(Q1=3,V23,IF(Q1=2.5,W23,0))</f>
        <v>0</v>
      </c>
      <c r="U1" s="603"/>
      <c r="W1" s="604"/>
      <c r="X1" s="605"/>
      <c r="Y1" s="605"/>
      <c r="Z1" s="605"/>
      <c r="AA1" s="605"/>
    </row>
    <row r="2" ht="27" customHeight="1">
      <c r="A2" s="595" t="s">
        <v>450</v>
      </c>
      <c r="B2" s="595" t="s">
        <v>300</v>
      </c>
      <c r="C2" s="595" t="s">
        <v>704</v>
      </c>
      <c r="D2" s="595" t="s">
        <v>387</v>
      </c>
      <c r="E2" s="595" t="s">
        <v>452</v>
      </c>
      <c r="F2" s="595" t="s">
        <v>33</v>
      </c>
      <c r="G2" s="595" t="s">
        <v>388</v>
      </c>
      <c r="H2" s="595" t="s">
        <v>705</v>
      </c>
      <c r="O2" s="605"/>
      <c r="P2" s="605"/>
      <c r="Q2" s="605"/>
      <c r="R2" s="605"/>
      <c r="S2" s="605"/>
      <c r="T2" s="605"/>
      <c r="U2" s="605"/>
      <c r="V2" s="605"/>
      <c r="W2" s="605"/>
      <c r="X2" s="605"/>
      <c r="Y2" s="605"/>
      <c r="Z2" s="605"/>
      <c r="AA2" s="605"/>
    </row>
    <row r="3" ht="27" customHeight="1">
      <c r="A3" s="591" t="s">
        <v>238</v>
      </c>
      <c r="B3" s="591" t="s">
        <v>706</v>
      </c>
      <c r="C3" s="590" t="s">
        <v>707</v>
      </c>
      <c r="D3" s="589">
        <v>3.7</v>
      </c>
      <c r="E3" s="589">
        <v>3.05</v>
      </c>
      <c r="F3" s="589">
        <f>Table1381[[#This Row],[الطول]]*Table1381[[#This Row],[وزن المتر]]</f>
        <v>11.285</v>
      </c>
      <c r="G3" s="589">
        <f>Sheet2!$B$14/1000</f>
        <v>252</v>
      </c>
      <c r="H3" s="592">
        <f>Table1381[[#This Row],[السعر]]*Table1381[[#This Row],[الوزن]]</f>
        <v>2843.82</v>
      </c>
      <c r="J3" s="0">
        <v>60</v>
      </c>
      <c r="K3" s="361" t="s">
        <v>708</v>
      </c>
      <c r="L3" s="0">
        <f>Table1381[[#This Row],[الوزن]]</f>
        <v>11.285</v>
      </c>
      <c r="M3" s="0">
        <f>L3*J3</f>
        <v>677.1</v>
      </c>
      <c r="O3" s="593" t="s">
        <v>27</v>
      </c>
      <c r="P3" s="593" t="s">
        <v>709</v>
      </c>
      <c r="Q3" s="593" t="s">
        <v>32</v>
      </c>
      <c r="R3" s="606" t="s">
        <v>710</v>
      </c>
      <c r="S3" s="606" t="s">
        <v>711</v>
      </c>
      <c r="T3" s="606" t="s">
        <v>712</v>
      </c>
      <c r="U3" s="606" t="s">
        <v>272</v>
      </c>
      <c r="V3" s="606" t="s">
        <v>503</v>
      </c>
      <c r="W3" s="606" t="s">
        <v>713</v>
      </c>
    </row>
    <row r="4" ht="27" customHeight="1">
      <c r="A4" s="591" t="s">
        <v>238</v>
      </c>
      <c r="B4" s="591" t="s">
        <v>714</v>
      </c>
      <c r="C4" s="590" t="s">
        <v>715</v>
      </c>
      <c r="D4" s="589">
        <v>1.8</v>
      </c>
      <c r="E4" s="589">
        <v>2.6</v>
      </c>
      <c r="F4" s="589">
        <f>Table1381[[#This Row],[الطول]]*Table1381[[#This Row],[وزن المتر]]</f>
        <v>4.6800000000000006</v>
      </c>
      <c r="G4" s="589">
        <f>Sheet2!$B$14/1000</f>
        <v>252</v>
      </c>
      <c r="H4" s="592">
        <f>Table1381[[#This Row],[السعر]]*Table1381[[#This Row],[الوزن]]</f>
        <v>1179.3600000000001</v>
      </c>
      <c r="J4" s="0">
        <v>60</v>
      </c>
      <c r="K4" s="361" t="s">
        <v>716</v>
      </c>
      <c r="L4" s="0">
        <f>Table1381[[#This Row],[الوزن]]</f>
        <v>4.6800000000000006</v>
      </c>
      <c r="M4" s="0">
        <f>L4*J4</f>
        <v>280.8</v>
      </c>
      <c r="O4" s="590">
        <v>1</v>
      </c>
      <c r="P4" s="607" t="s">
        <v>717</v>
      </c>
      <c r="Q4" s="607" t="s">
        <v>28</v>
      </c>
      <c r="R4" s="590">
        <v>0.5</v>
      </c>
      <c r="S4" s="590">
        <v>1</v>
      </c>
      <c r="T4" s="606" t="s">
        <v>718</v>
      </c>
      <c r="U4" s="605">
        <f>IF(تسعير!$AI$28="سادة",2.39*((Sheet2!$B$14/1000)+Sheet2!$B$41),IF(تسعير!$AI$28="خشبي",2.39*((Sheet2!$B$14/1000)+(Sheet2!$B$15/1000)),0))</f>
        <v>673.98</v>
      </c>
      <c r="V4" s="605">
        <f ref="V4:V21" t="shared" si="0">U4*S4</f>
        <v>673.98</v>
      </c>
      <c r="W4" s="605">
        <f>Table1102[[#This Row],[متطلبات انتاج الشمسيه 2.5]]*Table1102[[#This Row],[سعر]]</f>
        <v>336.99</v>
      </c>
    </row>
    <row r="5" ht="27" customHeight="1">
      <c r="A5" s="591" t="s">
        <v>238</v>
      </c>
      <c r="B5" s="591" t="s">
        <v>719</v>
      </c>
      <c r="C5" s="590" t="s">
        <v>720</v>
      </c>
      <c r="D5" s="589">
        <v>1.15</v>
      </c>
      <c r="E5" s="589">
        <v>0.8</v>
      </c>
      <c r="F5" s="589">
        <f>Table1381[[#This Row],[الطول]]*Table1381[[#This Row],[وزن المتر]]</f>
        <v>0.91999999999999993</v>
      </c>
      <c r="G5" s="589">
        <f>Sheet2!$B$14/1000</f>
        <v>252</v>
      </c>
      <c r="H5" s="589">
        <f>Table1381[[#This Row],[السعر]]*Table1381[[#This Row],[الوزن]]</f>
        <v>231.83999999999998</v>
      </c>
      <c r="K5" s="361" t="s">
        <v>230</v>
      </c>
      <c r="O5" s="590">
        <v>2</v>
      </c>
      <c r="P5" s="607" t="s">
        <v>721</v>
      </c>
      <c r="Q5" s="607" t="s">
        <v>28</v>
      </c>
      <c r="R5" s="590">
        <v>2</v>
      </c>
      <c r="S5" s="590">
        <v>2</v>
      </c>
      <c r="T5" s="606" t="s">
        <v>718</v>
      </c>
      <c r="U5" s="605">
        <f>IF(تسعير!$AI$28="سادة",4.39*((Sheet2!$B$14/1000)+Sheet2!$B$41),IF(تسعير!$AI$28="خشبي",4.39*((Sheet2!$B$14/1000)+(Sheet2!$B$15/1000)),0))</f>
        <v>1237.98</v>
      </c>
      <c r="V5" s="605">
        <f t="shared" si="0"/>
        <v>2475.96</v>
      </c>
      <c r="W5" s="605">
        <f>Table1102[[#This Row],[متطلبات انتاج الشمسيه 2.5]]*Table1102[[#This Row],[سعر]]</f>
        <v>2475.96</v>
      </c>
    </row>
    <row r="6" ht="27" customHeight="1">
      <c r="A6" s="591" t="s">
        <v>238</v>
      </c>
      <c r="B6" s="591" t="s">
        <v>722</v>
      </c>
      <c r="C6" s="590" t="s">
        <v>718</v>
      </c>
      <c r="D6" s="589">
        <v>0.43</v>
      </c>
      <c r="E6" s="589">
        <v>25.2</v>
      </c>
      <c r="F6" s="589">
        <f>Table1381[[#This Row],[الطول]]*Table1381[[#This Row],[وزن المتر]]</f>
        <v>10.836</v>
      </c>
      <c r="G6" s="589">
        <f>Sheet2!$B$14/1000</f>
        <v>252</v>
      </c>
      <c r="H6" s="592">
        <f>Table1381[[#This Row],[السعر]]*Table1381[[#This Row],[الوزن]]</f>
        <v>2730.672</v>
      </c>
      <c r="K6" s="623" t="s">
        <v>224</v>
      </c>
      <c r="O6" s="590">
        <v>3</v>
      </c>
      <c r="P6" s="607" t="s">
        <v>723</v>
      </c>
      <c r="Q6" s="607" t="s">
        <v>28</v>
      </c>
      <c r="R6" s="590">
        <v>1</v>
      </c>
      <c r="S6" s="590">
        <v>1</v>
      </c>
      <c r="T6" s="606" t="s">
        <v>718</v>
      </c>
      <c r="U6" s="605">
        <f>IF(تسعير!$AI$28="سادة",3.39*((Sheet2!$B$14/1000)+Sheet2!$B$41),IF(تسعير!AI28="خشبي",3.39*((Sheet2!$B$14/1000)+(Sheet2!$B$15/1000)),0))</f>
        <v>955.98</v>
      </c>
      <c r="V6" s="605">
        <f t="shared" si="0"/>
        <v>955.98</v>
      </c>
      <c r="W6" s="605">
        <f>Table1102[[#This Row],[متطلبات انتاج الشمسيه 2.5]]*Table1102[[#This Row],[سعر]]</f>
        <v>955.98</v>
      </c>
    </row>
    <row r="7" ht="34.5" customHeight="1">
      <c r="A7" s="591" t="s">
        <v>724</v>
      </c>
      <c r="B7" s="594" t="s">
        <v>725</v>
      </c>
      <c r="C7" s="593" t="s">
        <v>726</v>
      </c>
      <c r="D7" s="589">
        <v>1</v>
      </c>
      <c r="E7" s="589">
        <v>1</v>
      </c>
      <c r="F7" s="589">
        <f>Table1381[[#This Row],[الطول]]*Table1381[[#This Row],[وزن المتر]]</f>
        <v>1</v>
      </c>
      <c r="G7" s="589">
        <v>1200</v>
      </c>
      <c r="H7" s="589">
        <f>Table1381[[#This Row],[السعر]]*Table1381[[#This Row],[الوزن]]</f>
        <v>1200</v>
      </c>
      <c r="K7" s="623" t="s">
        <v>216</v>
      </c>
      <c r="M7" s="0">
        <v>3</v>
      </c>
      <c r="O7" s="590">
        <v>4</v>
      </c>
      <c r="P7" s="607" t="s">
        <v>727</v>
      </c>
      <c r="Q7" s="607" t="s">
        <v>28</v>
      </c>
      <c r="R7" s="590">
        <v>1</v>
      </c>
      <c r="S7" s="590">
        <v>1</v>
      </c>
      <c r="T7" s="606" t="s">
        <v>728</v>
      </c>
      <c r="U7" s="605">
        <v>100</v>
      </c>
      <c r="V7" s="605">
        <f t="shared" si="0"/>
        <v>100</v>
      </c>
      <c r="W7" s="605">
        <f>Table1102[[#This Row],[متطلبات انتاج الشمسيه 2.5]]*Table1102[[#This Row],[سعر]]</f>
        <v>100</v>
      </c>
    </row>
    <row r="8" ht="27" customHeight="1">
      <c r="A8" s="591"/>
      <c r="B8" s="591" t="s">
        <v>729</v>
      </c>
      <c r="C8" s="590" t="s">
        <v>730</v>
      </c>
      <c r="D8" s="589">
        <v>1</v>
      </c>
      <c r="E8" s="589">
        <v>1</v>
      </c>
      <c r="F8" s="589">
        <f>Table1381[[#This Row],[الطول]]*Table1381[[#This Row],[وزن المتر]]</f>
        <v>1</v>
      </c>
      <c r="G8" s="589">
        <v>2200</v>
      </c>
      <c r="H8" s="589">
        <f>Table1381[[#This Row],[السعر]]*Table1381[[#This Row],[الوزن]]</f>
        <v>2200</v>
      </c>
      <c r="K8" s="623" t="s">
        <v>208</v>
      </c>
      <c r="M8" s="0">
        <v>2.5</v>
      </c>
      <c r="O8" s="590">
        <v>5</v>
      </c>
      <c r="P8" s="607" t="s">
        <v>731</v>
      </c>
      <c r="Q8" s="607" t="s">
        <v>28</v>
      </c>
      <c r="R8" s="590">
        <v>1</v>
      </c>
      <c r="S8" s="590">
        <v>1</v>
      </c>
      <c r="T8" s="606" t="s">
        <v>728</v>
      </c>
      <c r="U8" s="605">
        <v>100</v>
      </c>
      <c r="V8" s="605">
        <f t="shared" si="0"/>
        <v>100</v>
      </c>
      <c r="W8" s="605">
        <f>Table1102[[#This Row],[متطلبات انتاج الشمسيه 2.5]]*Table1102[[#This Row],[سعر]]</f>
        <v>100</v>
      </c>
    </row>
    <row r="9" ht="27" customHeight="1">
      <c r="A9" s="591" t="s">
        <v>732</v>
      </c>
      <c r="B9" s="591" t="str">
        <f>F1</f>
        <v>سادة</v>
      </c>
      <c r="C9" s="590" t="s">
        <v>733</v>
      </c>
      <c r="D9" s="589">
        <v>1</v>
      </c>
      <c r="E9" s="589">
        <f>F3+F4+F5+F6</f>
        <v>27.720999999999997</v>
      </c>
      <c r="F9" s="589">
        <f>Table1381[[#This Row],[الطول]]*Table1381[[#This Row],[وزن المتر]]</f>
        <v>27.720999999999997</v>
      </c>
      <c r="G9" s="589">
        <f>IF(F1="سادة",Sheet2!B41,IF(F1="خشبي",Sheet2!B15/1000,IF(F1="ذهبي",Sheet2!B40,0)))</f>
        <v>30</v>
      </c>
      <c r="H9" s="589">
        <f>Table1381[[#This Row],[السعر]]*Table1381[[#This Row],[الوزن]]</f>
        <v>831.62999999999988</v>
      </c>
      <c r="K9" s="361"/>
      <c r="O9" s="590">
        <v>6</v>
      </c>
      <c r="P9" s="607" t="s">
        <v>734</v>
      </c>
      <c r="Q9" s="607" t="s">
        <v>28</v>
      </c>
      <c r="R9" s="590">
        <v>1</v>
      </c>
      <c r="S9" s="590">
        <v>1</v>
      </c>
      <c r="T9" s="605" t="s">
        <v>735</v>
      </c>
      <c r="U9" s="605">
        <v>35</v>
      </c>
      <c r="V9" s="605">
        <f t="shared" si="0"/>
        <v>35</v>
      </c>
      <c r="W9" s="605">
        <f>Table1102[[#This Row],[متطلبات انتاج الشمسيه 2.5]]*Table1102[[#This Row],[سعر]]</f>
        <v>35</v>
      </c>
    </row>
    <row r="10" ht="27" customHeight="1">
      <c r="A10" s="591" t="s">
        <v>736</v>
      </c>
      <c r="B10" s="591" t="str">
        <f>D1</f>
        <v>تركي</v>
      </c>
      <c r="C10" s="590"/>
      <c r="D10" s="589">
        <v>1</v>
      </c>
      <c r="E10" s="589">
        <v>9</v>
      </c>
      <c r="F10" s="589">
        <f>Table1381[[#This Row],[الطول]]*Table1381[[#This Row],[وزن المتر]]</f>
        <v>9</v>
      </c>
      <c r="G10" s="589">
        <f>IF(D1=$K$6,Sheet2!$B$59,IF(D1=$K$7,Sheet2!$B$44,IF(D1=$K$8,Sheet2!$B$42,0)))</f>
        <v>400</v>
      </c>
      <c r="H10" s="592">
        <f>Table1381[[#This Row],[السعر]]*Table1381[[#This Row],[الوزن]]</f>
        <v>3600</v>
      </c>
      <c r="K10" s="0" t="s">
        <v>665</v>
      </c>
      <c r="O10" s="590">
        <v>7</v>
      </c>
      <c r="P10" s="607" t="s">
        <v>737</v>
      </c>
      <c r="Q10" s="607" t="s">
        <v>28</v>
      </c>
      <c r="R10" s="590">
        <v>12</v>
      </c>
      <c r="S10" s="590">
        <v>12</v>
      </c>
      <c r="T10" s="605" t="s">
        <v>735</v>
      </c>
      <c r="U10" s="605">
        <v>30</v>
      </c>
      <c r="V10" s="605">
        <f t="shared" si="0"/>
        <v>360</v>
      </c>
      <c r="W10" s="605">
        <f>Table1102[[#This Row],[متطلبات انتاج الشمسيه 2.5]]*Table1102[[#This Row],[سعر]]</f>
        <v>360</v>
      </c>
    </row>
    <row r="11" ht="27" customHeight="1">
      <c r="A11" s="591" t="s">
        <v>738</v>
      </c>
      <c r="B11" s="591" t="s">
        <v>739</v>
      </c>
      <c r="C11" s="590" t="s">
        <v>730</v>
      </c>
      <c r="D11" s="589">
        <v>1</v>
      </c>
      <c r="E11" s="589">
        <v>2</v>
      </c>
      <c r="F11" s="589">
        <f>Table1381[[#This Row],[الطول]]*Table1381[[#This Row],[وزن المتر]]</f>
        <v>2</v>
      </c>
      <c r="G11" s="589">
        <v>125</v>
      </c>
      <c r="H11" s="589">
        <f>Table1381[[#This Row],[السعر]]*Table1381[[#This Row],[الوزن]]</f>
        <v>250</v>
      </c>
      <c r="K11" s="0" t="s">
        <v>699</v>
      </c>
      <c r="O11" s="590">
        <v>8</v>
      </c>
      <c r="P11" s="607" t="s">
        <v>740</v>
      </c>
      <c r="Q11" s="607" t="s">
        <v>28</v>
      </c>
      <c r="R11" s="590">
        <v>1</v>
      </c>
      <c r="S11" s="590">
        <v>1</v>
      </c>
      <c r="T11" s="605" t="s">
        <v>735</v>
      </c>
      <c r="U11" s="605">
        <v>70</v>
      </c>
      <c r="V11" s="605">
        <f t="shared" si="0"/>
        <v>70</v>
      </c>
      <c r="W11" s="605">
        <f>Table1102[[#This Row],[متطلبات انتاج الشمسيه 2.5]]*Table1102[[#This Row],[سعر]]</f>
        <v>70</v>
      </c>
    </row>
    <row r="12" ht="27" customHeight="1">
      <c r="A12" s="591" t="s">
        <v>738</v>
      </c>
      <c r="B12" s="591" t="s">
        <v>741</v>
      </c>
      <c r="C12" s="590" t="s">
        <v>730</v>
      </c>
      <c r="D12" s="589">
        <v>1</v>
      </c>
      <c r="E12" s="589">
        <v>2</v>
      </c>
      <c r="F12" s="589">
        <f>Table1381[[#This Row],[الطول]]*Table1381[[#This Row],[وزن المتر]]</f>
        <v>2</v>
      </c>
      <c r="G12" s="589">
        <v>150</v>
      </c>
      <c r="H12" s="592">
        <f>Table1381[[#This Row],[السعر]]*Table1381[[#This Row],[الوزن]]</f>
        <v>300</v>
      </c>
      <c r="K12" s="1145" t="s">
        <v>742</v>
      </c>
      <c r="O12" s="590">
        <v>9</v>
      </c>
      <c r="P12" s="607" t="s">
        <v>743</v>
      </c>
      <c r="Q12" s="607" t="s">
        <v>28</v>
      </c>
      <c r="R12" s="590">
        <v>1</v>
      </c>
      <c r="S12" s="590">
        <v>1</v>
      </c>
      <c r="T12" s="605" t="s">
        <v>735</v>
      </c>
      <c r="U12" s="605">
        <v>80</v>
      </c>
      <c r="V12" s="605">
        <f t="shared" si="0"/>
        <v>80</v>
      </c>
      <c r="W12" s="605">
        <f>Table1102[[#This Row],[متطلبات انتاج الشمسيه 2.5]]*Table1102[[#This Row],[سعر]]</f>
        <v>80</v>
      </c>
    </row>
    <row r="13" ht="27" customHeight="1">
      <c r="A13" s="591" t="s">
        <v>744</v>
      </c>
      <c r="B13" s="591" t="s">
        <v>745</v>
      </c>
      <c r="C13" s="590" t="s">
        <v>730</v>
      </c>
      <c r="D13" s="589">
        <v>1</v>
      </c>
      <c r="E13" s="589">
        <v>1</v>
      </c>
      <c r="F13" s="589">
        <f>Table1381[[#This Row],[الطول]]*Table1381[[#This Row],[وزن المتر]]</f>
        <v>1</v>
      </c>
      <c r="G13" s="589">
        <v>250</v>
      </c>
      <c r="H13" s="592">
        <f>Table1381[[#This Row],[السعر]]*Table1381[[#This Row],[الوزن]]</f>
        <v>250</v>
      </c>
      <c r="K13" s="1145" t="s">
        <v>746</v>
      </c>
      <c r="O13" s="590">
        <v>10</v>
      </c>
      <c r="P13" s="607" t="s">
        <v>747</v>
      </c>
      <c r="Q13" s="607" t="s">
        <v>28</v>
      </c>
      <c r="R13" s="590">
        <v>20</v>
      </c>
      <c r="S13" s="590">
        <v>20</v>
      </c>
      <c r="T13" s="605" t="s">
        <v>748</v>
      </c>
      <c r="U13" s="605">
        <v>5</v>
      </c>
      <c r="V13" s="605">
        <f t="shared" si="0"/>
        <v>100</v>
      </c>
      <c r="W13" s="605">
        <f>Table1102[[#This Row],[متطلبات انتاج الشمسيه 2.5]]*Table1102[[#This Row],[سعر]]</f>
        <v>100</v>
      </c>
    </row>
    <row r="14" ht="27" customHeight="1">
      <c r="A14" s="591" t="s">
        <v>744</v>
      </c>
      <c r="B14" s="591" t="s">
        <v>749</v>
      </c>
      <c r="C14" s="590" t="s">
        <v>730</v>
      </c>
      <c r="D14" s="589">
        <v>1</v>
      </c>
      <c r="E14" s="589">
        <v>2</v>
      </c>
      <c r="F14" s="589">
        <f>Table1381[[#This Row],[الطول]]*Table1381[[#This Row],[وزن المتر]]</f>
        <v>2</v>
      </c>
      <c r="G14" s="589">
        <v>150</v>
      </c>
      <c r="H14" s="592">
        <f>Table1381[[#This Row],[السعر]]*Table1381[[#This Row],[الوزن]]</f>
        <v>300</v>
      </c>
      <c r="K14" s="1145" t="s">
        <v>750</v>
      </c>
      <c r="O14" s="590">
        <v>11</v>
      </c>
      <c r="P14" s="607" t="s">
        <v>751</v>
      </c>
      <c r="Q14" s="607" t="s">
        <v>28</v>
      </c>
      <c r="R14" s="590">
        <v>1</v>
      </c>
      <c r="S14" s="590">
        <v>1</v>
      </c>
      <c r="T14" s="605" t="s">
        <v>735</v>
      </c>
      <c r="U14" s="605">
        <v>250</v>
      </c>
      <c r="V14" s="605">
        <f t="shared" si="0"/>
        <v>250</v>
      </c>
      <c r="W14" s="605">
        <f>Table1102[[#This Row],[متطلبات انتاج الشمسيه 2.5]]*Table1102[[#This Row],[سعر]]</f>
        <v>250</v>
      </c>
    </row>
    <row r="15" ht="27" customHeight="1">
      <c r="A15" s="591" t="s">
        <v>744</v>
      </c>
      <c r="B15" s="591" t="s">
        <v>752</v>
      </c>
      <c r="C15" s="590" t="s">
        <v>730</v>
      </c>
      <c r="D15" s="589">
        <v>1</v>
      </c>
      <c r="E15" s="589">
        <v>2</v>
      </c>
      <c r="F15" s="589">
        <f>Table1381[[#This Row],[الطول]]*Table1381[[#This Row],[وزن المتر]]</f>
        <v>2</v>
      </c>
      <c r="G15" s="589">
        <v>100</v>
      </c>
      <c r="H15" s="592">
        <f>Table1381[[#This Row],[السعر]]*Table1381[[#This Row],[الوزن]]</f>
        <v>200</v>
      </c>
      <c r="O15" s="590">
        <v>12</v>
      </c>
      <c r="P15" s="607" t="s">
        <v>753</v>
      </c>
      <c r="Q15" s="607" t="s">
        <v>28</v>
      </c>
      <c r="R15" s="590">
        <v>1</v>
      </c>
      <c r="S15" s="590">
        <v>1</v>
      </c>
      <c r="T15" s="605" t="s">
        <v>728</v>
      </c>
      <c r="U15" s="605">
        <v>80</v>
      </c>
      <c r="V15" s="605">
        <f t="shared" si="0"/>
        <v>80</v>
      </c>
      <c r="W15" s="605">
        <f>Table1102[[#This Row],[متطلبات انتاج الشمسيه 2.5]]*Table1102[[#This Row],[سعر]]</f>
        <v>80</v>
      </c>
    </row>
    <row r="16" ht="27" customHeight="1">
      <c r="A16" s="591" t="s">
        <v>754</v>
      </c>
      <c r="B16" s="591" t="s">
        <v>755</v>
      </c>
      <c r="C16" s="590" t="s">
        <v>756</v>
      </c>
      <c r="D16" s="589">
        <v>1</v>
      </c>
      <c r="E16" s="589">
        <v>1</v>
      </c>
      <c r="F16" s="589">
        <f>Table1381[[#This Row],[الطول]]*Table1381[[#This Row],[وزن المتر]]</f>
        <v>1</v>
      </c>
      <c r="G16" s="589">
        <v>100</v>
      </c>
      <c r="H16" s="589">
        <f>Table1381[[#This Row],[السعر]]*Table1381[[#This Row],[الوزن]]</f>
        <v>100</v>
      </c>
      <c r="O16" s="590">
        <v>13</v>
      </c>
      <c r="P16" s="607" t="s">
        <v>757</v>
      </c>
      <c r="Q16" s="607" t="s">
        <v>28</v>
      </c>
      <c r="R16" s="590">
        <v>1</v>
      </c>
      <c r="S16" s="590">
        <v>1</v>
      </c>
      <c r="T16" s="605" t="s">
        <v>735</v>
      </c>
      <c r="U16" s="605">
        <v>55</v>
      </c>
      <c r="V16" s="605">
        <f t="shared" si="0"/>
        <v>55</v>
      </c>
      <c r="W16" s="605">
        <f>Table1102[[#This Row],[متطلبات انتاج الشمسيه 2.5]]*Table1102[[#This Row],[سعر]]</f>
        <v>55</v>
      </c>
    </row>
    <row r="17" ht="27" customHeight="1">
      <c r="A17" s="591" t="s">
        <v>758</v>
      </c>
      <c r="B17" s="591" t="s">
        <v>759</v>
      </c>
      <c r="C17" s="590" t="s">
        <v>756</v>
      </c>
      <c r="D17" s="589">
        <v>1</v>
      </c>
      <c r="E17" s="589">
        <v>2</v>
      </c>
      <c r="F17" s="589">
        <f>Table1381[[#This Row],[الطول]]*Table1381[[#This Row],[وزن المتر]]</f>
        <v>2</v>
      </c>
      <c r="G17" s="589">
        <v>50</v>
      </c>
      <c r="H17" s="589">
        <f>Table1381[[#This Row],[السعر]]*Table1381[[#This Row],[الوزن]]</f>
        <v>100</v>
      </c>
      <c r="O17" s="590">
        <v>14</v>
      </c>
      <c r="P17" s="607" t="s">
        <v>760</v>
      </c>
      <c r="Q17" s="607" t="s">
        <v>28</v>
      </c>
      <c r="R17" s="590">
        <v>1</v>
      </c>
      <c r="S17" s="590">
        <v>1</v>
      </c>
      <c r="T17" s="605" t="s">
        <v>748</v>
      </c>
      <c r="U17" s="605">
        <v>100</v>
      </c>
      <c r="V17" s="605">
        <f t="shared" si="0"/>
        <v>100</v>
      </c>
      <c r="W17" s="605">
        <f>Table1102[[#This Row],[متطلبات انتاج الشمسيه 2.5]]*Table1102[[#This Row],[سعر]]</f>
        <v>100</v>
      </c>
    </row>
    <row r="18" ht="27" customHeight="1">
      <c r="A18" s="591"/>
      <c r="B18" s="591" t="s">
        <v>761</v>
      </c>
      <c r="C18" s="590" t="s">
        <v>756</v>
      </c>
      <c r="D18" s="589">
        <v>1</v>
      </c>
      <c r="E18" s="589">
        <v>1</v>
      </c>
      <c r="F18" s="589">
        <f>Table1381[[#This Row],[الطول]]*Table1381[[#This Row],[وزن المتر]]</f>
        <v>1</v>
      </c>
      <c r="G18" s="589">
        <v>20</v>
      </c>
      <c r="H18" s="589">
        <f>Table1381[[#This Row],[السعر]]*Table1381[[#This Row],[الوزن]]</f>
        <v>20</v>
      </c>
      <c r="O18" s="590">
        <v>15</v>
      </c>
      <c r="P18" s="607" t="s">
        <v>762</v>
      </c>
      <c r="Q18" s="607" t="s">
        <v>28</v>
      </c>
      <c r="R18" s="590">
        <v>1</v>
      </c>
      <c r="S18" s="590">
        <v>5</v>
      </c>
      <c r="T18" s="605" t="s">
        <v>763</v>
      </c>
      <c r="U18" s="605">
        <v>20</v>
      </c>
      <c r="V18" s="605">
        <f t="shared" si="0"/>
        <v>100</v>
      </c>
      <c r="W18" s="605">
        <f>Table1102[[#This Row],[متطلبات انتاج الشمسيه 2.5]]*Table1102[[#This Row],[سعر]]</f>
        <v>20</v>
      </c>
    </row>
    <row r="19" ht="27" customHeight="1">
      <c r="A19" s="591" t="s">
        <v>764</v>
      </c>
      <c r="B19" s="591" t="s">
        <v>765</v>
      </c>
      <c r="C19" s="590"/>
      <c r="D19" s="589">
        <v>1</v>
      </c>
      <c r="E19" s="589">
        <v>10</v>
      </c>
      <c r="F19" s="589">
        <f>Table1381[[#This Row],[الطول]]*Table1381[[#This Row],[وزن المتر]]</f>
        <v>10</v>
      </c>
      <c r="G19" s="589">
        <v>50</v>
      </c>
      <c r="H19" s="589">
        <f>Table1381[[#This Row],[السعر]]*Table1381[[#This Row],[الوزن]]</f>
        <v>500</v>
      </c>
      <c r="O19" s="590">
        <v>16</v>
      </c>
      <c r="P19" s="607" t="s">
        <v>766</v>
      </c>
      <c r="Q19" s="607" t="s">
        <v>303</v>
      </c>
      <c r="R19" s="590">
        <v>8</v>
      </c>
      <c r="S19" s="590">
        <v>8</v>
      </c>
      <c r="T19" s="605" t="s">
        <v>735</v>
      </c>
      <c r="U19" s="605">
        <v>8</v>
      </c>
      <c r="V19" s="605">
        <f t="shared" si="0"/>
        <v>64</v>
      </c>
      <c r="W19" s="605">
        <f>Table1102[[#This Row],[متطلبات انتاج الشمسيه 2.5]]*Table1102[[#This Row],[سعر]]</f>
        <v>64</v>
      </c>
    </row>
    <row r="20" ht="27" customHeight="1">
      <c r="A20" s="591" t="s">
        <v>754</v>
      </c>
      <c r="B20" s="591" t="s">
        <v>767</v>
      </c>
      <c r="C20" s="590" t="s">
        <v>756</v>
      </c>
      <c r="D20" s="589">
        <v>1</v>
      </c>
      <c r="E20" s="589">
        <v>24</v>
      </c>
      <c r="F20" s="589">
        <f>Table1381[[#This Row],[الطول]]*Table1381[[#This Row],[وزن المتر]]</f>
        <v>24</v>
      </c>
      <c r="G20" s="589">
        <v>5</v>
      </c>
      <c r="H20" s="589">
        <f>Table1381[[#This Row],[السعر]]*Table1381[[#This Row],[الوزن]]</f>
        <v>120</v>
      </c>
      <c r="O20" s="590">
        <v>17</v>
      </c>
      <c r="P20" s="607" t="s">
        <v>736</v>
      </c>
      <c r="Q20" s="607" t="s">
        <v>768</v>
      </c>
      <c r="R20" s="590">
        <v>7</v>
      </c>
      <c r="S20" s="590">
        <v>9</v>
      </c>
      <c r="T20" s="605"/>
      <c r="U20" s="608">
        <f>IF(S1=$K$6,Sheet2!$B$59,IF(S1=$K$7,Sheet2!$B$44,IF(S1=$K$8,Sheet2!$B$42,0)))</f>
        <v>400</v>
      </c>
      <c r="V20" s="605">
        <f t="shared" si="0"/>
        <v>3600</v>
      </c>
      <c r="W20" s="605">
        <f>Table1102[[#This Row],[متطلبات انتاج الشمسيه 2.5]]*Table1102[[#This Row],[سعر]]</f>
        <v>2800</v>
      </c>
    </row>
    <row r="21" ht="27" customHeight="1">
      <c r="A21" s="591" t="s">
        <v>769</v>
      </c>
      <c r="B21" s="591" t="s">
        <v>770</v>
      </c>
      <c r="C21" s="590" t="s">
        <v>771</v>
      </c>
      <c r="D21" s="589">
        <v>3</v>
      </c>
      <c r="E21" s="589">
        <v>3</v>
      </c>
      <c r="F21" s="589">
        <f>Table1381[[#This Row],[الطول]]*Table1381[[#This Row],[وزن المتر]]</f>
        <v>9</v>
      </c>
      <c r="G21" s="589">
        <v>300</v>
      </c>
      <c r="H21" s="589">
        <f>Table1381[[#This Row],[السعر]]*Table1381[[#This Row],[الوزن]]</f>
        <v>2700</v>
      </c>
      <c r="O21" s="609"/>
      <c r="P21" s="610" t="s">
        <v>772</v>
      </c>
      <c r="Q21" s="610"/>
      <c r="R21" s="609">
        <v>1</v>
      </c>
      <c r="S21" s="609">
        <v>1</v>
      </c>
      <c r="T21" s="608"/>
      <c r="U21" s="608">
        <v>4000</v>
      </c>
      <c r="V21" s="608">
        <f t="shared" si="0"/>
        <v>4000</v>
      </c>
      <c r="W21" s="605">
        <f>Table1102[[#This Row],[متطلبات انتاج الشمسيه 2.5]]*Table1102[[#This Row],[سعر]]</f>
        <v>4000</v>
      </c>
    </row>
    <row r="22" ht="27" customHeight="1">
      <c r="H22" s="618">
        <f>SUBTOTAL(109,Table1381[التكلفة])</f>
        <v>19657.322</v>
      </c>
      <c r="O22" s="611" t="s">
        <v>54</v>
      </c>
      <c r="P22" s="612"/>
      <c r="Q22" s="612"/>
      <c r="R22" s="613"/>
      <c r="S22" s="613"/>
      <c r="T22" s="614"/>
      <c r="U22" s="605"/>
      <c r="V22" s="589">
        <f>SUBTOTAL(109,Table1102[3])</f>
        <v>13199.92</v>
      </c>
      <c r="W22" s="572">
        <f>SUBTOTAL(109,Table1102[2.5])</f>
        <v>11982.93</v>
      </c>
    </row>
    <row r="23" ht="27" customHeight="1">
      <c r="V23" s="616">
        <f>IF(تسعير!AI17="قطاعي",Table1102[[#Totals],[3]]*1.35,IF(تسعير!AI17="جملة",Table1102[[#Totals],[3]]*1.25,IF(تسعير!AI17="نصف جملة",Table1102[[#Totals],[3]]*1.3,0)))</f>
        <v>17819.892</v>
      </c>
      <c r="W23" s="616">
        <f>IF(تسعير!AI17="قطاعي",Table1102[[#Totals],[2.5]]*1.35,IF(تسعير!AI17="جملة",Table1102[[#Totals],[2.5]]*1.25,IF(تسعير!AI17="نصف جملة",Table1102[[#Totals],[2.5]]*1.3,0)))</f>
        <v>16176.955500000002</v>
      </c>
    </row>
    <row r="24" ht="27" customHeight="1">
      <c r="A24" s="618" t="s">
        <v>773</v>
      </c>
      <c r="B24" s="1153" t="str">
        <f>تسعير!AN28</f>
        <v>متحركة</v>
      </c>
      <c r="C24" s="618"/>
      <c r="D24" s="619">
        <f>IF(تسعير!AG28="جملة",Table17118[[#Totals],[Column4]]*1.25,Table17118[[#Totals],[Column4]]*1.3)</f>
        <v>9152.240578</v>
      </c>
    </row>
    <row r="25" ht="27" customHeight="1">
      <c r="A25" s="0" t="s">
        <v>300</v>
      </c>
      <c r="B25" s="0" t="s">
        <v>451</v>
      </c>
      <c r="C25" s="0" t="s">
        <v>454</v>
      </c>
      <c r="D25" s="0" t="s">
        <v>26</v>
      </c>
      <c r="F25" s="620" t="s">
        <v>672</v>
      </c>
      <c r="P25" s="618" t="s">
        <v>774</v>
      </c>
      <c r="Q25" s="618" t="str">
        <f>تسعير!AH28</f>
        <v>4*4</v>
      </c>
      <c r="R25" s="618" t="e">
        <f>تسعير!#REF!</f>
        <v>#REF!</v>
      </c>
      <c r="S25" s="618" t="e">
        <f>تسعير!#REF!</f>
        <v>#REF!</v>
      </c>
      <c r="T25" s="619">
        <f>IF(تسعير!AG28="جملة",Table1718[[#Totals],[Column4]]*1.25,Table1718[[#Totals],[Column4]]*1.3)</f>
        <v>24473.3528</v>
      </c>
    </row>
    <row r="26" ht="27" customHeight="1">
      <c r="A26" s="0" t="s">
        <v>775</v>
      </c>
      <c r="B26" s="0">
        <v>2.67</v>
      </c>
      <c r="C26" s="621">
        <f>IF(تسعير!AI28='شماسي كانتليفر'!F33,6.3*0.23*((Sheet2!B14/1000)+(Sheet2!B15/1000)),6.3*0.23*((Sheet2!B14/1000)+Sheet2!B41))</f>
        <v>408.618</v>
      </c>
      <c r="D26" s="622">
        <f>Table17118[[#This Row],[القيمة]]*Table17118[[#This Row],[العدد]]</f>
        <v>1091.01006</v>
      </c>
      <c r="F26" s="620" t="s">
        <v>776</v>
      </c>
      <c r="P26" s="0" t="s">
        <v>300</v>
      </c>
      <c r="Q26" s="0" t="s">
        <v>451</v>
      </c>
      <c r="R26" s="0" t="s">
        <v>454</v>
      </c>
      <c r="S26" s="0" t="s">
        <v>26</v>
      </c>
    </row>
    <row r="27" ht="27" customHeight="1">
      <c r="A27" s="0" t="s">
        <v>777</v>
      </c>
      <c r="B27" s="0">
        <f>IF(B24=F25,0.5,0)</f>
        <v>0.5</v>
      </c>
      <c r="C27" s="621">
        <f>IF('شماسي كانتليفر'!AI28='شماسي كانتليفر'!F33,5.5*0.85*((Sheet2!B14/1000)+(Sheet2!B15/1000)),5.5*0.85*((Sheet2!B14/1000)+Sheet2!B41))</f>
        <v>1318.35</v>
      </c>
      <c r="D27" s="622">
        <f>Table17118[[#This Row],[القيمة]]*Table17118[[#This Row],[العدد]]</f>
        <v>659.175</v>
      </c>
      <c r="F27" s="620" t="s">
        <v>224</v>
      </c>
      <c r="H27" s="620"/>
      <c r="P27" s="0" t="s">
        <v>778</v>
      </c>
      <c r="Q27" s="0">
        <f>IF(Q25=U33,4.5,IF(Q25=U32,3.75,0))</f>
        <v>4.5</v>
      </c>
      <c r="R27" s="621">
        <f>IF(تسعير!AI28='شماسي كانتليفر'!U31,6.8*0.68*((Sheet2!$B$14/1000)+(Sheet2!$B$15/1000)),6.8*0.68*(Sheet2!$B$14/1000)+Sheet2!$B$41)</f>
        <v>1195.248</v>
      </c>
      <c r="S27" s="622">
        <f>Table1718[[#This Row],[القيمة]]*Table1718[[#This Row],[العدد]]</f>
        <v>5378.616</v>
      </c>
      <c r="U27" s="0" t="s">
        <v>224</v>
      </c>
    </row>
    <row r="28" ht="27" customHeight="1">
      <c r="A28" s="0" t="s">
        <v>779</v>
      </c>
      <c r="B28" s="0">
        <f>IF($B$24=F26,0.5,0)</f>
        <v>0</v>
      </c>
      <c r="C28" s="621">
        <f>IF('شماسي كانتليفر'!AI28='شماسي كانتليفر'!F33,6.25*0.85*((Sheet2!B14/1000)+(Sheet2!B15/1000)),6.25*0.85*((Sheet2!B14/1000)+Sheet2!B41))</f>
        <v>1498.125</v>
      </c>
      <c r="D28" s="622">
        <f>Table17118[[#This Row],[القيمة]]*Table17118[[#This Row],[العدد]]</f>
        <v>0</v>
      </c>
      <c r="F28" s="620" t="s">
        <v>216</v>
      </c>
      <c r="P28" s="0" t="s">
        <v>780</v>
      </c>
      <c r="Q28" s="0">
        <v>1</v>
      </c>
      <c r="R28" s="621">
        <f>IF(تسعير!AI28='شماسي كانتليفر'!U31,1.1*3.2*((Sheet2!$B$14/1000)+(Sheet2!$B$15/1000)),1.1*3.2*(Sheet2!$B$14/1000)+Sheet2!$B$41)</f>
        <v>917.04000000000008</v>
      </c>
      <c r="S28" s="622">
        <f>Table1718[[#This Row],[القيمة]]*Table1718[[#This Row],[العدد]]</f>
        <v>917.04000000000008</v>
      </c>
      <c r="U28" s="620" t="s">
        <v>216</v>
      </c>
    </row>
    <row r="29" ht="27" customHeight="1">
      <c r="A29" s="0" t="s">
        <v>781</v>
      </c>
      <c r="B29" s="0">
        <v>1</v>
      </c>
      <c r="C29" s="0">
        <v>890</v>
      </c>
      <c r="D29" s="622">
        <f>Table17118[[#This Row],[القيمة]]*Table17118[[#This Row],[العدد]]</f>
        <v>890</v>
      </c>
      <c r="F29" s="620" t="s">
        <v>208</v>
      </c>
      <c r="P29" s="0" t="s">
        <v>782</v>
      </c>
      <c r="Q29" s="0">
        <v>2</v>
      </c>
      <c r="R29" s="0">
        <v>250</v>
      </c>
      <c r="S29" s="622">
        <f>Table1718[[#This Row],[القيمة]]*Table1718[[#This Row],[العدد]]</f>
        <v>500</v>
      </c>
      <c r="U29" s="620" t="s">
        <v>208</v>
      </c>
    </row>
    <row r="30" ht="27" customHeight="1">
      <c r="A30" s="624" t="s">
        <v>783</v>
      </c>
      <c r="B30" s="0">
        <v>1</v>
      </c>
      <c r="C30" s="0">
        <f>IF(تسعير!AN28='شماسي كانتليفر'!F25,1200,500)</f>
        <v>1200</v>
      </c>
      <c r="D30" s="622">
        <f>Table17118[[#This Row],[القيمة]]*Table17118[[#This Row],[العدد]]</f>
        <v>1200</v>
      </c>
      <c r="F30" s="620" t="s">
        <v>784</v>
      </c>
      <c r="P30" s="0" t="s">
        <v>785</v>
      </c>
      <c r="Q30" s="0">
        <v>16</v>
      </c>
      <c r="R30" s="0">
        <v>20</v>
      </c>
      <c r="S30" s="622">
        <f>Table1718[[#This Row],[القيمة]]*Table1718[[#This Row],[العدد]]</f>
        <v>320</v>
      </c>
      <c r="U30" s="620" t="s">
        <v>234</v>
      </c>
    </row>
    <row r="31" ht="27" customHeight="1">
      <c r="A31" s="624" t="s">
        <v>736</v>
      </c>
      <c r="B31" s="0">
        <v>7</v>
      </c>
      <c r="C31" s="0">
        <f>IF(تسعير!AJ28='شماسي كانتليفر'!F27,200,IF(تسعير!AJ28='شماسي كانتليفر'!F28,400,IF(تسعير!AJ28='شماسي كانتليفر'!F29,750)))</f>
        <v>400</v>
      </c>
      <c r="D31" s="622">
        <f>Table17118[[#This Row],[القيمة]]*Table17118[[#This Row],[العدد]]</f>
        <v>2800</v>
      </c>
      <c r="F31" s="620" t="s">
        <v>269</v>
      </c>
      <c r="I31" s="620">
        <f>3.25*2</f>
        <v>6.5</v>
      </c>
      <c r="P31" s="0" t="s">
        <v>786</v>
      </c>
      <c r="Q31" s="0">
        <v>7</v>
      </c>
      <c r="R31" s="0">
        <v>10</v>
      </c>
      <c r="S31" s="622">
        <f>Table1718[[#This Row],[القيمة]]*Table1718[[#This Row],[العدد]]</f>
        <v>70</v>
      </c>
      <c r="U31" s="620" t="s">
        <v>230</v>
      </c>
    </row>
    <row r="32" ht="27" customHeight="1">
      <c r="A32" s="624" t="s">
        <v>787</v>
      </c>
      <c r="B32" s="0">
        <f>IF(تسعير!AK28='شماسي كانتليفر'!F31,4,0)</f>
        <v>0</v>
      </c>
      <c r="C32" s="0">
        <v>75</v>
      </c>
      <c r="D32" s="622">
        <f>Table17118[[#This Row],[القيمة]]*Table17118[[#This Row],[العدد]]</f>
        <v>0</v>
      </c>
      <c r="F32" s="620" t="s">
        <v>234</v>
      </c>
      <c r="I32" s="0">
        <f>I31*170</f>
        <v>1105</v>
      </c>
      <c r="P32" s="0" t="s">
        <v>788</v>
      </c>
      <c r="Q32" s="0">
        <v>3</v>
      </c>
      <c r="R32" s="0">
        <v>30</v>
      </c>
      <c r="S32" s="622">
        <f>Table1718[[#This Row],[القيمة]]*Table1718[[#This Row],[العدد]]</f>
        <v>90</v>
      </c>
      <c r="U32" s="1152" t="s">
        <v>219</v>
      </c>
    </row>
    <row r="33" ht="27" customHeight="1">
      <c r="A33" s="0" t="s">
        <v>789</v>
      </c>
      <c r="D33" s="621">
        <v>400</v>
      </c>
      <c r="F33" s="620" t="s">
        <v>230</v>
      </c>
      <c r="P33" s="0" t="s">
        <v>790</v>
      </c>
      <c r="Q33" s="0">
        <v>1</v>
      </c>
      <c r="R33" s="0">
        <v>200</v>
      </c>
      <c r="S33" s="622">
        <f>Table1718[[#This Row],[القيمة]]*Table1718[[#This Row],[العدد]]</f>
        <v>200</v>
      </c>
      <c r="U33" s="1152" t="s">
        <v>215</v>
      </c>
    </row>
    <row r="34" ht="27" customHeight="1">
      <c r="A34" s="0" t="s">
        <v>54</v>
      </c>
      <c r="D34" s="621">
        <f>SUBTOTAL(109,Table17118[Column4])</f>
        <v>7040.18506</v>
      </c>
      <c r="P34" s="624" t="s">
        <v>791</v>
      </c>
      <c r="Q34" s="0">
        <v>1</v>
      </c>
      <c r="R34" s="0">
        <v>150</v>
      </c>
      <c r="S34" s="622">
        <f>Table1718[[#This Row],[القيمة]]*Table1718[[#This Row],[العدد]]</f>
        <v>150</v>
      </c>
    </row>
    <row r="35" ht="27" customHeight="1">
      <c r="P35" s="0" t="s">
        <v>792</v>
      </c>
      <c r="Q35" s="0">
        <v>1</v>
      </c>
      <c r="R35" s="0">
        <v>200</v>
      </c>
      <c r="S35" s="622">
        <f>Table1718[[#This Row],[القيمة]]*Table1718[[#This Row],[العدد]]</f>
        <v>200</v>
      </c>
    </row>
    <row r="36" ht="27" customHeight="1">
      <c r="P36" s="0" t="s">
        <v>793</v>
      </c>
      <c r="Q36" s="0">
        <v>1</v>
      </c>
      <c r="R36" s="0">
        <v>2000</v>
      </c>
      <c r="S36" s="622">
        <f>Table1718[[#This Row],[القيمة]]*Table1718[[#This Row],[العدد]]</f>
        <v>2000</v>
      </c>
    </row>
    <row r="37" ht="27" customHeight="1">
      <c r="P37" s="0" t="s">
        <v>794</v>
      </c>
      <c r="Q37" s="0">
        <f>IF($Q$25=U33,20,IF(Q25=U32,18,0))</f>
        <v>20</v>
      </c>
      <c r="R37" s="0">
        <f>IF(تسعير!AJ28='شماسي كانتليفر'!F27,200,IF(تسعير!AJ28='شماسي كانتليفر'!F28,400,IF(تسعير!AJ28='شماسي كانتليفر'!F29,750)))</f>
        <v>400</v>
      </c>
      <c r="S37" s="622">
        <f>Table1718[[#This Row],[القيمة]]*Table1718[[#This Row],[العدد]]</f>
        <v>8000</v>
      </c>
    </row>
    <row r="38" ht="27" customHeight="1">
      <c r="P38" s="0" t="s">
        <v>789</v>
      </c>
      <c r="S38" s="621">
        <v>1000</v>
      </c>
    </row>
    <row r="39" ht="27" customHeight="1">
      <c r="P39" s="0" t="s">
        <v>54</v>
      </c>
      <c r="S39" s="621">
        <f>SUBTOTAL(109,Table1718[Column4])</f>
        <v>18825.656</v>
      </c>
    </row>
  </sheetData>
  <mergeCells>
    <mergeCell ref="A1:B1"/>
  </mergeCells>
  <phoneticPr fontId="118" type="noConversion"/>
  <pageMargins left="0.7" right="0.7" top="0.75" bottom="0.75" header="0.3" footer="0.3"/>
  <headerFooter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R5" zoomScale="130" zoomScaleNormal="90" zoomScaleSheetLayoutView="130" zoomScalePageLayoutView="90" workbookViewId="0">
      <selection activeCell="Y5" sqref="Y5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874" t="s">
        <v>0</v>
      </c>
      <c r="B1" s="875"/>
      <c r="C1" s="87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77"/>
      <c r="B2" s="878"/>
      <c r="C2" s="879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70" t="s">
        <v>17</v>
      </c>
      <c r="B3" s="871"/>
      <c r="C3" s="397"/>
      <c r="F3" s="234" t="s">
        <v>18</v>
      </c>
      <c r="G3" s="872">
        <f>NOW()</f>
        <v>46139.61435246528</v>
      </c>
      <c r="H3" s="873"/>
      <c r="I3" s="873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69" t="s">
        <v>20</v>
      </c>
      <c r="E4" s="869"/>
      <c r="F4" s="869"/>
      <c r="G4" s="869"/>
      <c r="H4" s="869"/>
      <c r="I4" s="869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0.014450847710637892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0.03179186496340336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49</v>
      </c>
      <c r="W7" s="216">
        <v>2</v>
      </c>
      <c r="X7" s="211" t="s">
        <v>50</v>
      </c>
      <c r="Y7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0.019041116983428752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53</v>
      </c>
      <c r="W8" s="216">
        <v>1.4</v>
      </c>
      <c r="X8" s="211" t="s">
        <v>50</v>
      </c>
      <c r="Y8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0.065283829657470011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56</v>
      </c>
      <c r="X9" s="216" t="s">
        <v>57</v>
      </c>
    </row>
    <row r="10" ht="21" customHeight="1" s="216" customFormat="1">
      <c r="C10" s="217"/>
      <c r="D10" s="869" t="s">
        <v>58</v>
      </c>
      <c r="E10" s="869"/>
      <c r="F10" s="869"/>
      <c r="G10" s="869"/>
      <c r="H10" s="869"/>
      <c r="I10" s="869"/>
      <c r="L10" s="402"/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60</v>
      </c>
      <c r="W10" s="216">
        <v>1.6</v>
      </c>
      <c r="Y10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63</v>
      </c>
      <c r="W11" s="216">
        <v>1.6</v>
      </c>
      <c r="Y11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67</v>
      </c>
      <c r="W12" s="216">
        <v>0.1</v>
      </c>
      <c r="Y12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70</v>
      </c>
      <c r="W13" s="216">
        <v>0.1</v>
      </c>
      <c r="Y13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869" t="s">
        <v>72</v>
      </c>
      <c r="E15" s="869"/>
      <c r="F15" s="869"/>
      <c r="G15" s="869"/>
      <c r="H15" s="869"/>
      <c r="I15" s="869"/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0.0060447990423583339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0.0037779994014739589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0.0033246394732970837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0.00098227984438322932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0.0015111997605895835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0.00045335992817687506</v>
      </c>
    </row>
    <row r="23" ht="21" customHeight="1" s="216" customFormat="1">
      <c r="A23" s="211">
        <v>7</v>
      </c>
      <c r="B23" s="583">
        <f>IF(تسعير!T10=Sheet2!A3,0,(تسعير!AA10/100))</f>
        <v>4</v>
      </c>
      <c r="C23" s="215" t="s">
        <v>90</v>
      </c>
      <c r="D23" s="391"/>
      <c r="E23" s="391"/>
      <c r="F23" s="391"/>
      <c r="G23" s="248" t="s">
        <v>89</v>
      </c>
      <c r="H23" s="248"/>
      <c r="I23" s="248"/>
      <c r="J23" s="248">
        <f>Sheet2!B29</f>
        <v>700</v>
      </c>
      <c r="K23" s="240">
        <f t="shared" si="2"/>
        <v>2800</v>
      </c>
      <c r="L23" s="241">
        <f t="shared" si="3"/>
        <v>0.021156796648254168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391"/>
      <c r="E24" s="391"/>
      <c r="F24" s="39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0.00022667996408843753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0.018134397127075003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0.0034001994613265629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7810</v>
      </c>
      <c r="L27" s="244">
        <f>Table15[[#Totals],[اجمالي]]/$G$83</f>
        <v>0.059012350651023233</v>
      </c>
    </row>
    <row r="28" ht="21" customHeight="1" s="216" customFormat="1">
      <c r="C28" s="217"/>
      <c r="D28" s="869" t="s">
        <v>95</v>
      </c>
      <c r="E28" s="869"/>
      <c r="F28" s="869"/>
      <c r="G28" s="869"/>
      <c r="H28" s="869"/>
      <c r="I28" s="869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869" t="s">
        <v>99</v>
      </c>
      <c r="E33" s="869"/>
      <c r="F33" s="869"/>
      <c r="G33" s="869"/>
      <c r="H33" s="869"/>
      <c r="I33" s="869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0.00056669991022109385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0.00056669991022109385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0.00094449985036848972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0.0056669991022109383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0.0015111997605895835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0.0059440523916523625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0.0023072782059001679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0.014010980637466282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0.032480000568671834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0.063998410337301845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869" t="s">
        <v>119</v>
      </c>
      <c r="E51" s="869"/>
      <c r="F51" s="869"/>
      <c r="G51" s="869"/>
      <c r="H51" s="869"/>
      <c r="I51" s="869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252</v>
      </c>
      <c r="J53" s="403">
        <f>Table1610[[#This Row],[سعر الكيلو]]*Table1610[[#This Row],[الوزن]]</f>
        <v>441</v>
      </c>
      <c r="K53" s="240">
        <f>B53*J53</f>
        <v>1323</v>
      </c>
      <c r="L53" s="241">
        <f>(Table1610[[#This Row],[اجمالي]])/$G$83</f>
        <v>0.0099965864163000951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0.015111997605895836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3323</v>
      </c>
      <c r="L55" s="244">
        <f>Table1610[[#Totals],[اجمالي]]/$G$83</f>
        <v>0.025108584022195929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869" t="s">
        <v>123</v>
      </c>
      <c r="E56" s="869"/>
      <c r="F56" s="869"/>
      <c r="G56" s="869"/>
      <c r="H56" s="869"/>
      <c r="I56" s="869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4">
        <f>IF(تسعير!T10=Sheet2!A3,0,1)</f>
        <v>1</v>
      </c>
      <c r="C58" s="214" t="s">
        <v>129</v>
      </c>
      <c r="D58" s="214"/>
      <c r="E58" s="211"/>
      <c r="F58" s="214"/>
      <c r="G58" s="214"/>
      <c r="H58" s="398">
        <f>'Cutting Ro-1'!$O$7</f>
        <v>2819.4486466796357</v>
      </c>
      <c r="I58" s="247"/>
      <c r="J58" s="403">
        <f>IF((Table1611[[#This Row],[عدد]]&gt;0),'Cutting Ro-1'!O8,0)</f>
        <v>45111.178346874171</v>
      </c>
      <c r="K58" s="240">
        <f>B58*Table1611[[#This Row],[سعر البرجولا كاملة]]</f>
        <v>45111.178346874171</v>
      </c>
      <c r="L58" s="241">
        <f>(K58)/$G$83</f>
        <v>0.34086000958855123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5"/>
      <c r="B59" s="584">
        <f>IF(تسعير!T10=Sheet2!A3,1,0)</f>
        <v>0</v>
      </c>
      <c r="C59" s="571" t="s">
        <v>130</v>
      </c>
      <c r="D59" s="571"/>
      <c r="E59" s="575"/>
      <c r="F59" s="576"/>
      <c r="G59" s="576"/>
      <c r="H59" s="398">
        <f>'Cutting Ro-1'!$O$7</f>
        <v>2819.4486466796357</v>
      </c>
      <c r="I59" s="577"/>
      <c r="J59" s="578">
        <f>IF((Table1611[[#This Row],[عدد]]&gt;0),'Cutting Ro-1'!O8,0)</f>
        <v>0</v>
      </c>
      <c r="K59" s="579">
        <f>B59*Table1611[[#This Row],[سعر البرجولا كاملة]]</f>
        <v>0</v>
      </c>
      <c r="L59" s="241">
        <f ref="L59:L60" t="shared" si="9">(K59)/$G$83</f>
        <v>0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131</v>
      </c>
      <c r="D60" s="214"/>
      <c r="E60" s="211"/>
      <c r="G60" s="214"/>
      <c r="H60" s="211"/>
      <c r="I60" s="247"/>
      <c r="J60" s="248">
        <f>(K58)+K59</f>
        <v>45111.178346874171</v>
      </c>
      <c r="K60" s="240">
        <f>B60*Table1611[[#This Row],[سعر البرجولا كاملة]]</f>
        <v>4511.1178346874176</v>
      </c>
      <c r="L60" s="241">
        <f t="shared" si="9"/>
        <v>0.034086000958855132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0" t="s">
        <v>54</v>
      </c>
      <c r="B61" s="569"/>
      <c r="C61" s="548" t="s">
        <v>54</v>
      </c>
      <c r="D61" s="572">
        <f>SUBTOTAL(109,Table1611[Column12])</f>
        <v>0</v>
      </c>
      <c r="E61" s="570"/>
      <c r="F61" s="571"/>
      <c r="G61" s="571"/>
      <c r="H61" s="570"/>
      <c r="I61" s="570"/>
      <c r="J61" s="242"/>
      <c r="K61" s="573">
        <f>SUBTOTAL(109,Table1611[اجمالي])</f>
        <v>49622.296181561585</v>
      </c>
      <c r="L61" s="574">
        <f>Table1611[[#Totals],[اجمالي]]/$G$83</f>
        <v>0.37494601054740634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869" t="s">
        <v>132</v>
      </c>
      <c r="E65" s="869"/>
      <c r="F65" s="869"/>
      <c r="G65" s="869"/>
      <c r="H65" s="869"/>
      <c r="I65" s="869"/>
      <c r="J65" s="216"/>
      <c r="K65" s="216"/>
      <c r="L65" s="216"/>
    </row>
    <row r="66" ht="18">
      <c r="A66" s="211" t="s">
        <v>27</v>
      </c>
      <c r="B66" s="211" t="s">
        <v>28</v>
      </c>
      <c r="C66" s="218" t="s">
        <v>29</v>
      </c>
      <c r="D66" s="211" t="s">
        <v>133</v>
      </c>
      <c r="E66" s="211" t="s">
        <v>12</v>
      </c>
      <c r="F66" s="211" t="s">
        <v>134</v>
      </c>
      <c r="G66" s="211" t="s">
        <v>135</v>
      </c>
      <c r="H66" s="211" t="s">
        <v>61</v>
      </c>
      <c r="I66" s="211" t="s">
        <v>136</v>
      </c>
      <c r="J66" s="211" t="s">
        <v>137</v>
      </c>
      <c r="K66" s="245" t="s">
        <v>36</v>
      </c>
      <c r="L66" s="211" t="s">
        <v>37</v>
      </c>
    </row>
    <row r="67" ht="18">
      <c r="A67" s="211">
        <v>1</v>
      </c>
      <c r="B67" s="219">
        <v>4</v>
      </c>
      <c r="C67" s="220" t="s">
        <v>138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139</v>
      </c>
      <c r="G67" s="214" t="s">
        <v>39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0.0084627186593016681</v>
      </c>
    </row>
    <row r="68" ht="18">
      <c r="A68" s="211">
        <v>2</v>
      </c>
      <c r="B68" s="219">
        <v>3</v>
      </c>
      <c r="C68" s="220" t="s">
        <v>140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139</v>
      </c>
      <c r="G68" s="214" t="s">
        <v>39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0.0063470389944762506</v>
      </c>
    </row>
    <row r="69" ht="18">
      <c r="A69" s="211">
        <v>3</v>
      </c>
      <c r="B69" s="219">
        <v>3</v>
      </c>
      <c r="C69" s="220" t="s">
        <v>141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139</v>
      </c>
      <c r="G69" s="214" t="s">
        <v>39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0.012694077988952501</v>
      </c>
    </row>
    <row r="70" ht="18">
      <c r="A70" s="211">
        <v>4</v>
      </c>
      <c r="B70" s="212">
        <v>3</v>
      </c>
      <c r="C70" s="220" t="s">
        <v>142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139</v>
      </c>
      <c r="G70" s="214" t="s">
        <v>39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0.0063470389944762506</v>
      </c>
    </row>
    <row r="71" ht="18">
      <c r="A71" s="211">
        <v>5</v>
      </c>
      <c r="B71" s="212">
        <v>4</v>
      </c>
      <c r="C71" s="220" t="s">
        <v>143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39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0.045335992817687507</v>
      </c>
    </row>
    <row r="72" ht="18">
      <c r="A72" s="211">
        <v>6</v>
      </c>
      <c r="B72" s="212">
        <v>3</v>
      </c>
      <c r="C72" s="220" t="s">
        <v>144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39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0.034001994613265626</v>
      </c>
    </row>
    <row r="73" ht="18">
      <c r="A73" s="211">
        <v>7</v>
      </c>
      <c r="B73" s="212">
        <v>0</v>
      </c>
      <c r="C73" s="220" t="s">
        <v>145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39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146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39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0.030223995211791671</v>
      </c>
    </row>
    <row r="75" ht="18">
      <c r="A75" s="211">
        <v>9</v>
      </c>
      <c r="B75" s="212">
        <f>(B71+B72+B73+B74)*2</f>
        <v>22</v>
      </c>
      <c r="C75" s="220" t="s">
        <v>147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0.066492789465941671</v>
      </c>
    </row>
    <row r="76" ht="18">
      <c r="A76" s="211">
        <v>10</v>
      </c>
      <c r="B76" s="212">
        <f>((I71+I72+I73+I74)*2)-2</f>
        <v>14</v>
      </c>
      <c r="C76" s="220" t="s">
        <v>148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0.042313593296508335</v>
      </c>
    </row>
    <row r="77" ht="18">
      <c r="A77" s="211">
        <v>11</v>
      </c>
      <c r="B77" s="212">
        <v>2</v>
      </c>
      <c r="C77" s="220" t="s">
        <v>149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0.052891991620635424</v>
      </c>
    </row>
    <row r="78" ht="18">
      <c r="A78" s="211">
        <v>12</v>
      </c>
      <c r="B78" s="212">
        <v>2</v>
      </c>
      <c r="C78" s="220" t="s">
        <v>150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0.090671985635375013</v>
      </c>
    </row>
    <row r="79" ht="18">
      <c r="A79" s="211">
        <v>13</v>
      </c>
      <c r="B79" s="212">
        <f>B76</f>
        <v>14</v>
      </c>
      <c r="C79" s="220" t="s">
        <v>15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0.015867597486190627</v>
      </c>
    </row>
    <row r="80" ht="18">
      <c r="A80" s="570" t="s">
        <v>54</v>
      </c>
      <c r="B80" s="569"/>
      <c r="C80" s="548" t="s">
        <v>54</v>
      </c>
      <c r="D80" s="570"/>
      <c r="E80" s="570"/>
      <c r="F80" s="571"/>
      <c r="G80" s="571"/>
      <c r="H80" s="572">
        <f>SUBTOTAL(109,Table1612[Column12])</f>
        <v>10450</v>
      </c>
      <c r="I80" s="570"/>
      <c r="J80" s="242"/>
      <c r="K80" s="573">
        <f>SUBTOTAL(109,Table1612[اجمالي])</f>
        <v>54480</v>
      </c>
      <c r="L80" s="574">
        <f>Table1612[[#Totals],[اجمالي]]/$G$83</f>
        <v>0.41165081478460253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9</v>
      </c>
      <c r="D82" s="211" t="s">
        <v>151</v>
      </c>
      <c r="E82" s="211" t="s">
        <v>152</v>
      </c>
      <c r="F82" s="211" t="s">
        <v>96</v>
      </c>
      <c r="G82" s="211" t="s">
        <v>30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153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132345.17713394255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154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172048.73027412532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2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40" zoomScale="70" zoomScaleNormal="55" zoomScaleSheetLayoutView="70" workbookViewId="0">
      <selection activeCell="B66" sqref="B6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874" t="s">
        <v>0</v>
      </c>
      <c r="B1" s="875"/>
      <c r="C1" s="87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77"/>
      <c r="B2" s="878"/>
      <c r="C2" s="879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70" t="s">
        <v>17</v>
      </c>
      <c r="B3" s="871"/>
      <c r="C3" s="397"/>
      <c r="F3" s="234" t="s">
        <v>18</v>
      </c>
      <c r="G3" s="872">
        <f>NOW()</f>
        <v>46139.61435246528</v>
      </c>
      <c r="H3" s="873"/>
      <c r="I3" s="873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69" t="s">
        <v>20</v>
      </c>
      <c r="E4" s="869"/>
      <c r="F4" s="869"/>
      <c r="G4" s="869"/>
      <c r="H4" s="869"/>
      <c r="I4" s="869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155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43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0.0049853055410638237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43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0.041128770713776547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156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43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0.016568809592359179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53</v>
      </c>
      <c r="Z8" s="216">
        <v>1.8</v>
      </c>
      <c r="AA8" s="211" t="s">
        <v>50</v>
      </c>
      <c r="AB8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51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43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0.016422182958798479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0.079105068805998033</v>
      </c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869" t="s">
        <v>58</v>
      </c>
      <c r="E11" s="869"/>
      <c r="F11" s="869"/>
      <c r="G11" s="869"/>
      <c r="H11" s="869"/>
      <c r="I11" s="869"/>
      <c r="L11" s="402"/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113</v>
      </c>
      <c r="Z11" s="216">
        <v>1.85</v>
      </c>
      <c r="AB11" s="525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157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115</v>
      </c>
      <c r="Z13" s="216">
        <v>1.85</v>
      </c>
      <c r="AB13" s="526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158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159</v>
      </c>
    </row>
    <row r="16" ht="21" customHeight="1" s="216" customFormat="1">
      <c r="C16" s="217"/>
      <c r="D16" s="869" t="s">
        <v>72</v>
      </c>
      <c r="E16" s="869"/>
      <c r="F16" s="869"/>
      <c r="G16" s="869"/>
      <c r="H16" s="869"/>
      <c r="I16" s="869"/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67</v>
      </c>
      <c r="Z16" s="216">
        <v>0.25</v>
      </c>
      <c r="AB16" s="526">
        <f>IF((تسعير!T25="جلفنة و جوتن"),(AB13*Table625[[#This Row],[المعدل]]),0)</f>
        <v>0</v>
      </c>
    </row>
    <row r="17" ht="18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70</v>
      </c>
      <c r="Z17" s="216">
        <v>0.25</v>
      </c>
      <c r="AB17" s="526">
        <f>IF((تسعير!T25="جلفنة و جوتن"),(AB11*Table625[[#This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0.0026066957077457904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0.0032583696346822379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0.0021505239588902772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0.00084717610501738188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0.0031280348492949486</v>
      </c>
    </row>
    <row r="23" ht="18" s="216" customFormat="1">
      <c r="A23" s="211">
        <v>6</v>
      </c>
      <c r="B23" s="219">
        <f>B19*3</f>
        <v>6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0.00039100435616186858</v>
      </c>
    </row>
    <row r="24" ht="18" s="216" customFormat="1">
      <c r="A24" s="211">
        <v>7</v>
      </c>
      <c r="B24" s="212">
        <f>IF((تسعير!U31=Sheet2!A6),0,(تسعير!AA33/100))</f>
        <v>4</v>
      </c>
      <c r="C24" s="215" t="s">
        <v>90</v>
      </c>
      <c r="D24" s="391"/>
      <c r="E24" s="391"/>
      <c r="F24" s="391"/>
      <c r="G24" s="248" t="s">
        <v>89</v>
      </c>
      <c r="H24" s="248"/>
      <c r="I24" s="248"/>
      <c r="J24" s="248">
        <f>Sheet2!B29</f>
        <v>700</v>
      </c>
      <c r="K24" s="240">
        <f t="shared" si="5"/>
        <v>2800</v>
      </c>
      <c r="L24" s="241">
        <f t="shared" si="6"/>
        <v>0.018246869954220531</v>
      </c>
    </row>
    <row r="25" ht="18" s="216" customFormat="1">
      <c r="A25" s="211">
        <v>8</v>
      </c>
      <c r="B25" s="219">
        <f>B19*10</f>
        <v>20</v>
      </c>
      <c r="C25" s="215" t="s">
        <v>91</v>
      </c>
      <c r="D25" s="391"/>
      <c r="E25" s="391"/>
      <c r="F25" s="391"/>
      <c r="G25" s="248" t="s">
        <v>92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0.00013033478538728951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0.0029325326712140143</v>
      </c>
    </row>
    <row r="28" ht="18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5170</v>
      </c>
      <c r="L28" s="244">
        <f>Table1522[[#Totals],[اجمالي]]/$G$85</f>
        <v>0.033691542022614339</v>
      </c>
    </row>
    <row r="29" ht="18" s="216" customFormat="1">
      <c r="C29" s="217"/>
      <c r="D29" s="869" t="s">
        <v>95</v>
      </c>
      <c r="E29" s="869"/>
      <c r="F29" s="869"/>
      <c r="G29" s="869"/>
      <c r="H29" s="869"/>
      <c r="I29" s="869"/>
    </row>
    <row r="30" ht="18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0.016422182958798479</v>
      </c>
    </row>
    <row r="32" ht="18" s="216" customFormat="1">
      <c r="A32" s="211">
        <v>8</v>
      </c>
      <c r="B32" s="212">
        <f>B31*4</f>
        <v>16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0.0070380784109136344</v>
      </c>
    </row>
    <row r="33" ht="18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0.023460261369712115</v>
      </c>
    </row>
    <row r="34" ht="18" s="216" customFormat="1">
      <c r="C34" s="217"/>
      <c r="D34" s="869" t="s">
        <v>99</v>
      </c>
      <c r="E34" s="869"/>
      <c r="F34" s="869"/>
      <c r="G34" s="869"/>
      <c r="H34" s="869"/>
      <c r="I34" s="869"/>
    </row>
    <row r="35" ht="18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" s="216" customFormat="1">
      <c r="A36" s="211">
        <v>1</v>
      </c>
      <c r="B36" s="222">
        <f>AB7/3</f>
        <v>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0.0078200871232373716</v>
      </c>
    </row>
    <row r="37" ht="18" s="216" customFormat="1">
      <c r="A37" s="211">
        <v>7</v>
      </c>
      <c r="B37" s="222">
        <f>AB6/2</f>
        <v>3.5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0.0021668158070636883</v>
      </c>
    </row>
    <row r="38" ht="18" s="216" customFormat="1">
      <c r="A38" s="211">
        <v>8</v>
      </c>
      <c r="B38" s="222">
        <f>AB5</f>
        <v>12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0.017204191671122217</v>
      </c>
    </row>
    <row r="39" ht="18" s="216" customFormat="1">
      <c r="A39" s="211">
        <v>9</v>
      </c>
      <c r="B39" s="222">
        <f>AB8</f>
        <v>9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0.029911833246382944</v>
      </c>
    </row>
    <row r="40" ht="18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0.00048875544520233572</v>
      </c>
    </row>
    <row r="41" ht="18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0.00048875544520233572</v>
      </c>
    </row>
    <row r="42" ht="18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0.0016291848173411189</v>
      </c>
    </row>
    <row r="43" ht="18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0.0048875544520233568</v>
      </c>
    </row>
    <row r="44" ht="18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0.0013033478538728952</v>
      </c>
    </row>
    <row r="45" ht="18" s="216" customFormat="1">
      <c r="A45" s="211">
        <v>10</v>
      </c>
      <c r="B45" s="212"/>
      <c r="C45" s="548" t="s">
        <v>160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0.065900525861448261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869" t="s">
        <v>119</v>
      </c>
      <c r="E52" s="869"/>
      <c r="F52" s="869"/>
      <c r="G52" s="869"/>
      <c r="H52" s="869"/>
      <c r="I52" s="869"/>
    </row>
    <row r="53" ht="18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252</v>
      </c>
      <c r="J54" s="403">
        <f>Table161027[[#This Row],[سعر الكيلو]]*Table161027[[#This Row],[الوزن]]</f>
        <v>441</v>
      </c>
      <c r="K54" s="240">
        <f ref="K54:K55" t="shared" si="13">B54*J54</f>
        <v>1323</v>
      </c>
      <c r="L54" s="241">
        <f>(Table161027[[#This Row],[اجمالي]])/$G$85</f>
        <v>0.0086216460533692016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0.15640174246474742</v>
      </c>
    </row>
    <row r="56" ht="18.6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25323</v>
      </c>
      <c r="L56" s="241">
        <f>Table161027[[#Totals],[اجمالي]]/$G$85</f>
        <v>0.16502338851811663</v>
      </c>
    </row>
    <row r="57" ht="18" s="216" customFormat="1">
      <c r="C57" s="217"/>
      <c r="D57" s="869" t="s">
        <v>123</v>
      </c>
      <c r="E57" s="869"/>
      <c r="F57" s="869"/>
      <c r="G57" s="869"/>
      <c r="H57" s="869"/>
      <c r="I57" s="869"/>
    </row>
    <row r="58" ht="18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8.6" s="216" customFormat="1">
      <c r="A59" s="211">
        <v>1</v>
      </c>
      <c r="B59" s="219">
        <f>IF((تسعير!U31=Sheet2!A6),0,1)</f>
        <v>1</v>
      </c>
      <c r="C59" s="214" t="s">
        <v>129</v>
      </c>
      <c r="D59" s="214"/>
      <c r="E59" s="211"/>
      <c r="F59" s="214"/>
      <c r="G59" s="214"/>
      <c r="H59" s="398">
        <f>'Cutting Ro-2'!$O$7</f>
        <v>2907.2003302590206</v>
      </c>
      <c r="I59" s="247"/>
      <c r="J59" s="403">
        <f>IF((Table161128[[#This Row],[عدد]]&gt;0),'Cutting Ro-2'!O8,0)</f>
        <v>46515.205284144329</v>
      </c>
      <c r="K59" s="240">
        <f>Table161128[[#This Row],[عدد]]*Table161128[[#This Row],[سعر البرجولا كاملة]]</f>
        <v>46515.205284144329</v>
      </c>
      <c r="L59" s="241">
        <f>(K59)/$G$85</f>
        <v>0.30312746489773335</v>
      </c>
    </row>
    <row r="60" ht="18.6" s="216" customFormat="1">
      <c r="A60" s="575"/>
      <c r="B60" s="561">
        <f>IF((تسعير!U31=Sheet2!A6),1,0)</f>
        <v>0</v>
      </c>
      <c r="C60" s="571" t="s">
        <v>161</v>
      </c>
      <c r="D60" s="571"/>
      <c r="E60" s="575"/>
      <c r="F60" s="576"/>
      <c r="G60" s="576"/>
      <c r="H60" s="398">
        <f>'Cutting Ro-2'!$O$7</f>
        <v>2907.2003302590206</v>
      </c>
      <c r="I60" s="577"/>
      <c r="J60" s="403">
        <f>IF((Table161128[[#This Row],[عدد]]&gt;0),'Cutting Ro-2'!O8,0)</f>
        <v>0</v>
      </c>
      <c r="K60" s="579">
        <f>Table161128[[#This Row],[عدد]]*Table161128[[#This Row],[سعر البرجولا كاملة]]</f>
        <v>0</v>
      </c>
      <c r="L60" s="241">
        <f>Table161128[[#Totals],[اجمالي]]/$G$85</f>
        <v>0.33344021138750668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131</v>
      </c>
      <c r="D61" s="214"/>
      <c r="E61" s="211"/>
      <c r="G61" s="214"/>
      <c r="H61" s="211"/>
      <c r="I61" s="247"/>
      <c r="J61" s="248">
        <f>K59+K60</f>
        <v>46515.205284144329</v>
      </c>
      <c r="K61" s="240">
        <f>Table161128[[#This Row],[عدد]]*Table161128[[#This Row],[سعر البرجولا كاملة]]</f>
        <v>4651.5205284144331</v>
      </c>
      <c r="L61" s="241">
        <f>(K61)/$G$85</f>
        <v>0.030312746489773335</v>
      </c>
    </row>
    <row r="62" ht="18" s="216" customFormat="1">
      <c r="A62" s="570" t="s">
        <v>54</v>
      </c>
      <c r="B62" s="569"/>
      <c r="C62" s="548" t="s">
        <v>54</v>
      </c>
      <c r="D62" s="572">
        <f>SUBTOTAL(109,Table161128[Column12])</f>
        <v>0</v>
      </c>
      <c r="E62" s="570"/>
      <c r="F62" s="571"/>
      <c r="G62" s="571"/>
      <c r="H62" s="570"/>
      <c r="I62" s="570"/>
      <c r="J62" s="242"/>
      <c r="K62" s="573">
        <f>SUBTOTAL(109,Table161128[اجمالي])</f>
        <v>51166.725812558761</v>
      </c>
      <c r="L62" s="574">
        <f>Table161128[[#Totals],[اجمالي]]/$G$85</f>
        <v>0.33344021138750668</v>
      </c>
    </row>
    <row r="63" ht="18" s="216" customFormat="1">
      <c r="C63" s="217"/>
      <c r="D63" s="869" t="s">
        <v>162</v>
      </c>
      <c r="E63" s="869"/>
      <c r="F63" s="869"/>
      <c r="G63" s="869"/>
      <c r="H63" s="869"/>
      <c r="I63" s="869"/>
    </row>
    <row r="64" ht="18" s="216" customFormat="1">
      <c r="A64" s="211" t="s">
        <v>27</v>
      </c>
      <c r="B64" s="211" t="s">
        <v>28</v>
      </c>
      <c r="C64" s="218" t="s">
        <v>29</v>
      </c>
      <c r="D64" s="211" t="s">
        <v>30</v>
      </c>
      <c r="E64" s="211" t="s">
        <v>9</v>
      </c>
      <c r="F64" s="211" t="s">
        <v>61</v>
      </c>
      <c r="G64" s="211" t="s">
        <v>32</v>
      </c>
      <c r="H64" s="211" t="s">
        <v>33</v>
      </c>
      <c r="I64" s="211" t="s">
        <v>74</v>
      </c>
      <c r="J64" s="211" t="s">
        <v>35</v>
      </c>
      <c r="K64" s="245" t="s">
        <v>36</v>
      </c>
      <c r="L64" s="211" t="s">
        <v>37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112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54</v>
      </c>
      <c r="B66" s="212"/>
      <c r="C66" s="213" t="s">
        <v>54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869" t="s">
        <v>132</v>
      </c>
      <c r="E67" s="869"/>
      <c r="F67" s="869"/>
      <c r="G67" s="869"/>
      <c r="H67" s="869"/>
      <c r="I67" s="869"/>
    </row>
    <row r="68" ht="18" s="216" customFormat="1">
      <c r="A68" s="211" t="s">
        <v>27</v>
      </c>
      <c r="B68" s="211" t="s">
        <v>28</v>
      </c>
      <c r="C68" s="218" t="s">
        <v>29</v>
      </c>
      <c r="D68" s="211" t="s">
        <v>133</v>
      </c>
      <c r="E68" s="211" t="s">
        <v>12</v>
      </c>
      <c r="F68" s="211" t="s">
        <v>134</v>
      </c>
      <c r="G68" s="211" t="s">
        <v>135</v>
      </c>
      <c r="H68" s="211" t="s">
        <v>61</v>
      </c>
      <c r="I68" s="211" t="s">
        <v>136</v>
      </c>
      <c r="J68" s="211" t="s">
        <v>137</v>
      </c>
      <c r="K68" s="245" t="s">
        <v>36</v>
      </c>
      <c r="L68" s="211" t="s">
        <v>37</v>
      </c>
    </row>
    <row r="69" ht="18" s="216" customFormat="1">
      <c r="A69" s="211">
        <v>1</v>
      </c>
      <c r="B69" s="219">
        <v>4</v>
      </c>
      <c r="C69" s="220" t="s">
        <v>138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139</v>
      </c>
      <c r="G69" s="214" t="s">
        <v>39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0.01094812197253232</v>
      </c>
    </row>
    <row r="70" ht="18" s="216" customFormat="1">
      <c r="A70" s="211">
        <v>2</v>
      </c>
      <c r="B70" s="219">
        <v>3</v>
      </c>
      <c r="C70" s="220" t="s">
        <v>140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139</v>
      </c>
      <c r="G70" s="214" t="s">
        <v>39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0.00547406098626616</v>
      </c>
    </row>
    <row r="71" ht="18" s="216" customFormat="1">
      <c r="A71" s="211">
        <v>3</v>
      </c>
      <c r="B71" s="219">
        <v>3</v>
      </c>
      <c r="C71" s="220" t="s">
        <v>141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139</v>
      </c>
      <c r="G71" s="214" t="s">
        <v>39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0.01094812197253232</v>
      </c>
    </row>
    <row r="72" ht="18" s="216" customFormat="1">
      <c r="A72" s="211">
        <v>4</v>
      </c>
      <c r="B72" s="212">
        <v>3</v>
      </c>
      <c r="C72" s="220" t="s">
        <v>142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139</v>
      </c>
      <c r="G72" s="214" t="s">
        <v>39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0.00547406098626616</v>
      </c>
    </row>
    <row r="73" ht="18" s="216" customFormat="1">
      <c r="A73" s="211">
        <v>5</v>
      </c>
      <c r="B73" s="212">
        <v>4</v>
      </c>
      <c r="C73" s="220" t="s">
        <v>143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0.026066957077457903</v>
      </c>
    </row>
    <row r="74" ht="18" s="216" customFormat="1">
      <c r="A74" s="211">
        <v>6</v>
      </c>
      <c r="B74" s="212">
        <v>3</v>
      </c>
      <c r="C74" s="220" t="s">
        <v>144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39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0.029325326712140141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145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39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146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39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0.026066957077457903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0.057347305570407389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0.031280348492949486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0.04561717488555133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150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0.039100435616186854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15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0.011730130684856057</v>
      </c>
      <c r="N81" s="207"/>
      <c r="O81" s="207"/>
      <c r="P81" s="207"/>
      <c r="Q81" s="207"/>
      <c r="R81" s="207"/>
      <c r="S81" s="207"/>
      <c r="T81" s="207"/>
    </row>
    <row r="82" ht="18">
      <c r="A82" s="570" t="s">
        <v>54</v>
      </c>
      <c r="B82" s="569"/>
      <c r="C82" s="548" t="s">
        <v>54</v>
      </c>
      <c r="D82" s="570"/>
      <c r="E82" s="570"/>
      <c r="F82" s="571"/>
      <c r="G82" s="571"/>
      <c r="H82" s="572">
        <f>SUBTOTAL(109,Table161229[Column12])</f>
        <v>10450</v>
      </c>
      <c r="I82" s="570"/>
      <c r="J82" s="242"/>
      <c r="K82" s="573">
        <f>SUBTOTAL(109,Table161229[اجمالي])</f>
        <v>45940</v>
      </c>
      <c r="L82" s="574">
        <f>Table161229[[#Totals],[اجمالي]]/$G$85</f>
        <v>0.29937900203460405</v>
      </c>
    </row>
    <row r="83" ht="18">
      <c r="A83" s="216"/>
      <c r="B83" s="216"/>
      <c r="C83" s="217"/>
      <c r="D83" s="880"/>
      <c r="E83" s="880"/>
      <c r="F83" s="880"/>
      <c r="G83" s="880"/>
      <c r="H83" s="880"/>
      <c r="I83" s="880"/>
      <c r="J83" s="216"/>
      <c r="K83" s="216"/>
      <c r="L83" s="216"/>
    </row>
    <row r="84" ht="18">
      <c r="A84" s="211"/>
      <c r="B84" s="211"/>
      <c r="C84" s="218" t="s">
        <v>9</v>
      </c>
      <c r="D84" s="211" t="s">
        <v>151</v>
      </c>
      <c r="E84" s="211" t="s">
        <v>152</v>
      </c>
      <c r="F84" s="211" t="s">
        <v>96</v>
      </c>
      <c r="G84" s="211" t="s">
        <v>30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153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153450.97581255875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154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199486.2685563264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H1" zoomScale="40" zoomScaleNormal="40" workbookViewId="0">
      <selection activeCell="M41" sqref="M41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163</v>
      </c>
      <c r="B1" s="269">
        <f>(F1*D1)/10000</f>
        <v>12.5</v>
      </c>
      <c r="C1" s="270" t="s">
        <v>164</v>
      </c>
      <c r="D1" s="271">
        <f>تسعير!BA12</f>
        <v>500</v>
      </c>
      <c r="E1" s="270" t="s">
        <v>125</v>
      </c>
      <c r="F1" s="271">
        <f>تسعير!AV10</f>
        <v>250</v>
      </c>
      <c r="G1" s="167"/>
      <c r="H1" s="167"/>
      <c r="I1" s="167"/>
      <c r="J1" s="167"/>
      <c r="K1" s="167"/>
      <c r="L1" s="874" t="s">
        <v>0</v>
      </c>
      <c r="M1" s="875"/>
      <c r="N1" s="87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77"/>
      <c r="M2" s="878"/>
      <c r="N2" s="87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6345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870" t="s">
        <v>17</v>
      </c>
      <c r="M3" s="871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872">
        <f>NOW()</f>
        <v>46139.614352604163</v>
      </c>
      <c r="S3" s="873"/>
      <c r="T3" s="873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170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10</v>
      </c>
      <c r="F4" s="384">
        <f>B4*C4*D4*E4</f>
        <v>3948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869" t="s">
        <v>20</v>
      </c>
      <c r="P4" s="869"/>
      <c r="Q4" s="869"/>
      <c r="R4" s="869"/>
      <c r="S4" s="869"/>
      <c r="T4" s="869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172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174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0.012801019173082051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176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156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0.035767553571846904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IF((تسعير!AT5="ايبوكسي و دوكو"),IF(((Table158[[#Totals],[المسطح]]+Table1662[[#Totals],[Column12]])&gt;0),(Table158[[#Totals],[المسطح]]+Table1662[[#Totals],[Column12]]+1)*Table663[[#This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178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0.048568572744928956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69" t="s">
        <v>72</v>
      </c>
      <c r="P9" s="869"/>
      <c r="Q9" s="869"/>
      <c r="R9" s="869"/>
      <c r="S9" s="869"/>
      <c r="T9" s="869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0.0044622289056495167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186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0.002454225898107234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188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0.0014502243943360928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189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0.0022311144528247583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54</v>
      </c>
      <c r="B15" s="386"/>
      <c r="C15" s="386"/>
      <c r="D15" s="386"/>
      <c r="E15" s="386">
        <f>Table8[[#Totals],[اجمالي التكلفة]]/B1</f>
        <v>2707.64</v>
      </c>
      <c r="F15" s="387">
        <f>SUBTOTAL(109,Table8[اجمالي التكلفة])</f>
        <v>33845.5</v>
      </c>
      <c r="G15" s="386"/>
      <c r="H15" s="386"/>
      <c r="I15" s="386"/>
      <c r="J15" s="386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0.0267733734338971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0.0373711670848147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69" t="s">
        <v>95</v>
      </c>
      <c r="P19" s="869"/>
      <c r="Q19" s="869"/>
      <c r="R19" s="869"/>
      <c r="S19" s="869"/>
      <c r="T19" s="869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195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869" t="s">
        <v>99</v>
      </c>
      <c r="P24" s="869"/>
      <c r="Q24" s="869"/>
      <c r="R24" s="869"/>
      <c r="S24" s="869"/>
      <c r="T24" s="86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0.00050200075188557057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0.00050200075188557057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0.00027888930660309479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0.0016733358396185687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0.00089244578112990323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 ca="1"/>
        <v>0.0022311144528247583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71.25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0.023845035714564602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1800</v>
      </c>
      <c r="W41" s="251">
        <f t="shared" si="4" ca="1"/>
        <v>0.020080030075422823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2175</v>
      </c>
      <c r="W42" s="251">
        <f t="shared" si="4" ca="1"/>
        <v>0.024263369674469244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950</v>
      </c>
      <c r="W43" s="251">
        <f t="shared" si="4" ca="1"/>
        <v>0.0105977936509176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950</v>
      </c>
      <c r="W44" s="251">
        <f t="shared" si="4" ca="1"/>
        <v>0.0105977936509176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8557.5</v>
      </c>
      <c r="W45" s="244">
        <f>Table1359[[#Totals],[اجمالي]]/$R$71</f>
        <v>0.095463809650239345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869" t="s">
        <v>162</v>
      </c>
      <c r="P47" s="869"/>
      <c r="Q47" s="869"/>
      <c r="R47" s="869"/>
      <c r="S47" s="869"/>
      <c r="T47" s="86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Table8[[#Totals],[اجمالي التكلفة]]</f>
        <v>33845.5</v>
      </c>
      <c r="V50" s="240">
        <f>M50*Table161368[[#This Row],[سعر الشبك ]]</f>
        <v>33845.5</v>
      </c>
      <c r="W50" s="241">
        <f t="shared" si="6" ca="1"/>
        <v>0.37756592106540177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33845.5</v>
      </c>
      <c r="V51" s="240">
        <f>M51*Table161368[[#This Row],[سعر الشبك ]]</f>
        <v>3384.55</v>
      </c>
      <c r="W51" s="241">
        <f t="shared" si="6" ca="1"/>
        <v>0.037756592106540178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37230.05</v>
      </c>
      <c r="W52" s="244">
        <f>Table161368[[#Totals],[اجمالي]]/$R$71</f>
        <v>0.41532251317194196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869" t="s">
        <v>132</v>
      </c>
      <c r="P53" s="869"/>
      <c r="Q53" s="869"/>
      <c r="R53" s="869"/>
      <c r="S53" s="869"/>
      <c r="T53" s="86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138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0.0062471204679093225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140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0.0062471204679093225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141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0.0093706807018639846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142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0.0093706807018639846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143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0.044622289056495165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144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0.03346671679237137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145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146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0.022311144528247583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147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0.098169035924289355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148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0.031235602339546614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150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0.13386686716948548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0.0083666791980928426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SUBTOTAL(109,Table161267[Column12])</f>
        <v>10450</v>
      </c>
      <c r="T68" s="570"/>
      <c r="U68" s="242"/>
      <c r="V68" s="573">
        <f>SUBTOTAL(109,Table161267[اجمالي])</f>
        <v>36150</v>
      </c>
      <c r="W68" s="574">
        <f>Table161267[[#Totals],[اجمالي]]/$R$71</f>
        <v>0.40327393734807504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880"/>
      <c r="P69" s="880"/>
      <c r="Q69" s="880"/>
      <c r="R69" s="880"/>
      <c r="S69" s="880"/>
      <c r="T69" s="88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89641.3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116533.69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M41" sqref="M41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163</v>
      </c>
      <c r="B1" s="269">
        <f>(F1*D1)/10000</f>
        <v>35</v>
      </c>
      <c r="C1" s="270" t="s">
        <v>164</v>
      </c>
      <c r="D1" s="271">
        <f>تسعير!BL12</f>
        <v>700</v>
      </c>
      <c r="E1" s="270" t="s">
        <v>125</v>
      </c>
      <c r="F1" s="271">
        <f>تسعير!BG10</f>
        <v>500</v>
      </c>
      <c r="G1" s="167"/>
      <c r="H1" s="167"/>
      <c r="I1" s="167"/>
      <c r="J1" s="167"/>
      <c r="K1" s="167"/>
      <c r="L1" s="874" t="s">
        <v>0</v>
      </c>
      <c r="M1" s="875"/>
      <c r="N1" s="87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77"/>
      <c r="M2" s="878"/>
      <c r="N2" s="87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8883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870" t="s">
        <v>17</v>
      </c>
      <c r="M3" s="871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872">
        <f>NOW()</f>
        <v>46139.614352604163</v>
      </c>
      <c r="S3" s="873"/>
      <c r="T3" s="873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170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13</v>
      </c>
      <c r="F4" s="384">
        <f>B4*C4*D4*E4</f>
        <v>10264.800000000001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869" t="s">
        <v>20</v>
      </c>
      <c r="P4" s="869"/>
      <c r="Q4" s="869"/>
      <c r="R4" s="869"/>
      <c r="S4" s="869"/>
      <c r="T4" s="869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172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174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176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156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0.043285555342987253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178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0.043285555342987253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69" t="s">
        <v>72</v>
      </c>
      <c r="P9" s="869"/>
      <c r="Q9" s="869"/>
      <c r="R9" s="869"/>
      <c r="S9" s="869"/>
      <c r="T9" s="869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0.0033750920345409167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157</v>
      </c>
      <c r="AK11" s="216"/>
      <c r="AL11" s="216"/>
      <c r="AM11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186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0.001856300618997504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188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0.0010969049112257978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/>
      <c r="AL13" s="216"/>
      <c r="AM13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189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0.0067501840690818334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159</v>
      </c>
      <c r="AK14" s="216"/>
      <c r="AL14" s="216"/>
      <c r="AM14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54</v>
      </c>
      <c r="B17" s="386"/>
      <c r="C17" s="386"/>
      <c r="D17" s="386"/>
      <c r="E17" s="386">
        <f>Table823[[#Totals],[اجمالي التكلفة]]/B1</f>
        <v>1981.3657142857148</v>
      </c>
      <c r="F17" s="387">
        <f>SUBTOTAL(109,Table823[اجمالي التكلفة])</f>
        <v>69347.800000000017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0.013078481633846052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69" t="s">
        <v>95</v>
      </c>
      <c r="P19" s="869"/>
      <c r="Q19" s="869"/>
      <c r="R19" s="869"/>
      <c r="S19" s="869"/>
      <c r="T19" s="869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195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0.010631539908803887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0.0045563742466302373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0.015187914155434124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869" t="s">
        <v>99</v>
      </c>
      <c r="P24" s="869"/>
      <c r="Q24" s="869"/>
      <c r="R24" s="869"/>
      <c r="S24" s="869"/>
      <c r="T24" s="86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0.0025538196394692941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0.0003796978538858531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0.0003796978538858531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0.00063282975647642188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0.003796978538858531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0.0010125276103622749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0.0016875460172704583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IF((تسعير!BE5="جلفنة و جوتن"),(Table15855[[#Totals],[الوزن]]+Table166241[[#Totals],[الوزن]]),0)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0.025988208665965056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0.030375828310868248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0.036704125875632466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0.0014556771944974976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0.0014556771944974976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7" t="s">
        <v>54</v>
      </c>
      <c r="M45" s="508"/>
      <c r="N45" s="509" t="s">
        <v>54</v>
      </c>
      <c r="O45" s="510"/>
      <c r="P45" s="510"/>
      <c r="Q45" s="510"/>
      <c r="R45" s="507" t="s">
        <v>118</v>
      </c>
      <c r="S45" s="507"/>
      <c r="T45" s="507"/>
      <c r="U45" s="511"/>
      <c r="V45" s="512">
        <f>SUBTOTAL(109,Table135926[اجمالي])</f>
        <v>12612.706666666669</v>
      </c>
      <c r="W45" s="513">
        <f>Table135926[[#Totals],[اجمالي]]/$R$71</f>
        <v>0.10642261451166947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869" t="s">
        <v>162</v>
      </c>
      <c r="P47" s="869"/>
      <c r="Q47" s="869"/>
      <c r="R47" s="869"/>
      <c r="S47" s="869"/>
      <c r="T47" s="86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69347.800000000017</v>
      </c>
      <c r="V50" s="240">
        <f>M50*Table16136845[[#This Row],[سعر الشبك ]]</f>
        <v>69347.800000000017</v>
      </c>
      <c r="W50" s="241">
        <f t="shared" si="6"/>
        <v>0.58513801848234159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69347.800000000017</v>
      </c>
      <c r="V51" s="240">
        <f>M51*Table16136845[[#This Row],[سعر الشبك ]]</f>
        <v>6934.7800000000025</v>
      </c>
      <c r="W51" s="241">
        <f t="shared" si="6"/>
        <v>0.058513801848234161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76282.580000000016</v>
      </c>
      <c r="W52" s="244">
        <f>Table16136845[[#Totals],[اجمالي]]/$R$71</f>
        <v>0.64365182033057566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869" t="s">
        <v>132</v>
      </c>
      <c r="P53" s="869"/>
      <c r="Q53" s="869"/>
      <c r="R53" s="869"/>
      <c r="S53" s="869"/>
      <c r="T53" s="86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138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0.0094502576967145663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140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0.0094502576967145663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141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0.0047251288483572832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142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0.0070876932725359243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143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الشيخ زايد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0.016875460172704582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144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الشيخ زايد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145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الشيخ زايد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146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الشيخ زايد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0.012656595129528436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147</v>
      </c>
      <c r="O63" s="211"/>
      <c r="P63" s="211"/>
      <c r="Q63" s="394" t="str">
        <f>تسعير!$BE$4</f>
        <v>الشيخ زايد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0.067501840690818327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148</v>
      </c>
      <c r="O64" s="211"/>
      <c r="P64" s="211"/>
      <c r="Q64" s="394" t="str">
        <f>تسعير!$BE$4</f>
        <v>الشيخ زايد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394" t="str">
        <f>تسعير!$BE$4</f>
        <v>الشيخ زايد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150</v>
      </c>
      <c r="O66" s="211"/>
      <c r="P66" s="211"/>
      <c r="Q66" s="394" t="str">
        <f>تسعير!$BE$4</f>
        <v>الشيخ زايد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0.050626380518113745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الشيخ زايد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SUBTOTAL(109,Table16126744[Column12])</f>
        <v>10450</v>
      </c>
      <c r="T68" s="570"/>
      <c r="U68" s="242"/>
      <c r="V68" s="573">
        <f>SUBTOTAL(109,Table16126744[اجمالي])</f>
        <v>21140</v>
      </c>
      <c r="W68" s="574">
        <f>Table16126744[[#Totals],[اجمالي]]/$R$71</f>
        <v>0.17837361402548743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880"/>
      <c r="P69" s="880"/>
      <c r="Q69" s="880"/>
      <c r="R69" s="880"/>
      <c r="S69" s="880"/>
      <c r="T69" s="88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118515.28666666668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154069.87266666669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55" zoomScaleNormal="55" workbookViewId="0"/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199</v>
      </c>
      <c r="B2" s="313" t="s">
        <v>200</v>
      </c>
      <c r="C2" s="313" t="s">
        <v>201</v>
      </c>
      <c r="E2" s="314" t="s">
        <v>9</v>
      </c>
      <c r="F2" s="313" t="s">
        <v>30</v>
      </c>
      <c r="H2" s="319" t="s">
        <v>9</v>
      </c>
      <c r="I2" s="353" t="s">
        <v>202</v>
      </c>
      <c r="J2" s="354" t="s">
        <v>203</v>
      </c>
      <c r="K2" s="355" t="s">
        <v>204</v>
      </c>
      <c r="M2" s="356" t="s">
        <v>205</v>
      </c>
      <c r="N2" s="356" t="s">
        <v>206</v>
      </c>
      <c r="O2" s="0" t="s">
        <v>9</v>
      </c>
      <c r="P2" s="357"/>
      <c r="R2" s="332"/>
      <c r="S2" s="313" t="s">
        <v>200</v>
      </c>
      <c r="T2" s="313" t="s">
        <v>201</v>
      </c>
      <c r="U2" s="313"/>
      <c r="V2" s="314" t="s">
        <v>9</v>
      </c>
      <c r="W2" s="313" t="s">
        <v>30</v>
      </c>
      <c r="X2" s="313"/>
      <c r="Y2" s="331" t="s">
        <v>9</v>
      </c>
      <c r="Z2" s="379" t="s">
        <v>202</v>
      </c>
      <c r="AA2" s="320" t="s">
        <v>203</v>
      </c>
      <c r="AB2" s="320" t="s">
        <v>204</v>
      </c>
      <c r="AD2" s="0" t="s">
        <v>205</v>
      </c>
      <c r="AE2" s="0" t="s">
        <v>206</v>
      </c>
      <c r="AF2" s="0" t="s">
        <v>9</v>
      </c>
      <c r="AG2" s="357"/>
    </row>
    <row r="3" ht="25.8">
      <c r="A3" s="546" t="s">
        <v>207</v>
      </c>
      <c r="B3" s="545">
        <v>2.5</v>
      </c>
      <c r="C3" s="545">
        <v>11.75</v>
      </c>
      <c r="E3" s="320" t="s">
        <v>208</v>
      </c>
      <c r="F3" s="320">
        <f>Sheet2!B42</f>
        <v>750</v>
      </c>
      <c r="H3" s="321" t="s">
        <v>209</v>
      </c>
      <c r="I3" s="358">
        <v>2</v>
      </c>
      <c r="J3" s="359">
        <v>75</v>
      </c>
      <c r="K3" s="360">
        <f ref="K3:K10" t="shared" si="0">I3*J3</f>
        <v>150</v>
      </c>
      <c r="M3" s="361" t="s">
        <v>210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173</v>
      </c>
      <c r="T3" s="320">
        <v>17</v>
      </c>
      <c r="U3" s="313"/>
      <c r="V3" s="320" t="s">
        <v>208</v>
      </c>
      <c r="W3" s="320">
        <f>Sheet2!B42</f>
        <v>750</v>
      </c>
      <c r="X3" s="313"/>
      <c r="Y3" s="331" t="s">
        <v>211</v>
      </c>
      <c r="Z3" s="367">
        <v>8</v>
      </c>
      <c r="AA3" s="320">
        <v>50</v>
      </c>
      <c r="AB3" s="320">
        <f ref="AB3:AB11" t="shared" si="1">Z3*AA3</f>
        <v>400</v>
      </c>
      <c r="AD3" s="380" t="s">
        <v>210</v>
      </c>
      <c r="AE3" s="380">
        <f>IF((تسعير!AH28="3*3"),1,IF((تسعير!AH28="4*4"),2,no))</f>
        <v>2</v>
      </c>
      <c r="AF3" s="380"/>
      <c r="AG3" s="357"/>
    </row>
    <row r="4" ht="22.5" customHeight="1">
      <c r="A4" s="546" t="s">
        <v>207</v>
      </c>
      <c r="B4" s="545">
        <v>2.7</v>
      </c>
      <c r="C4" s="545">
        <v>13.5</v>
      </c>
      <c r="E4" s="320" t="s">
        <v>212</v>
      </c>
      <c r="F4" s="320">
        <f>Sheet2!B43</f>
        <v>130</v>
      </c>
      <c r="H4" s="321" t="s">
        <v>213</v>
      </c>
      <c r="I4" s="358">
        <v>2</v>
      </c>
      <c r="J4" s="359"/>
      <c r="K4" s="360">
        <f t="shared" si="0"/>
        <v>0</v>
      </c>
      <c r="M4" s="361" t="s">
        <v>214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215</v>
      </c>
      <c r="T4" s="320">
        <v>18.75</v>
      </c>
      <c r="U4" s="313"/>
      <c r="V4" s="320" t="s">
        <v>212</v>
      </c>
      <c r="W4" s="320">
        <f>Sheet2!B43</f>
        <v>130</v>
      </c>
      <c r="X4" s="313"/>
      <c r="Y4" s="331" t="s">
        <v>213</v>
      </c>
      <c r="Z4" s="367">
        <v>2</v>
      </c>
      <c r="AA4" s="320">
        <v>15</v>
      </c>
      <c r="AB4" s="320">
        <f t="shared" si="1"/>
        <v>30</v>
      </c>
      <c r="AD4" s="380" t="s">
        <v>214</v>
      </c>
      <c r="AE4" s="380">
        <f>IF((AE3=1),T3,IF((AE3=2),Table122[[#This Row],[ميزان]],no))</f>
        <v>18.75</v>
      </c>
      <c r="AF4" s="380"/>
      <c r="AG4" s="357"/>
    </row>
    <row r="5" ht="25.8">
      <c r="A5" s="546" t="s">
        <v>207</v>
      </c>
      <c r="B5" s="545">
        <v>3</v>
      </c>
      <c r="C5" s="545">
        <v>13.5</v>
      </c>
      <c r="E5" s="545" t="s">
        <v>216</v>
      </c>
      <c r="F5" s="320">
        <f>Sheet2!B44</f>
        <v>400</v>
      </c>
      <c r="H5" s="321" t="s">
        <v>217</v>
      </c>
      <c r="I5" s="358">
        <v>16</v>
      </c>
      <c r="J5" s="359">
        <v>10</v>
      </c>
      <c r="K5" s="360">
        <f t="shared" si="0"/>
        <v>160</v>
      </c>
      <c r="M5" s="361" t="s">
        <v>218</v>
      </c>
      <c r="N5" s="361">
        <f>IF((تسعير!AL8="خشبي"),'شماسي و كانتليفر'!F8,IF((تسعير!AL8="سادة"),'شماسي و كانتليفر'!F9,0))</f>
        <v>30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1146" t="s">
        <v>219</v>
      </c>
      <c r="T5" s="1147"/>
      <c r="U5" s="313"/>
      <c r="V5" s="545" t="s">
        <v>216</v>
      </c>
      <c r="W5" s="320">
        <f>Sheet2!B44</f>
        <v>400</v>
      </c>
      <c r="X5" s="313"/>
      <c r="Y5" s="331" t="s">
        <v>220</v>
      </c>
      <c r="Z5" s="367">
        <v>1</v>
      </c>
      <c r="AA5" s="320">
        <v>150</v>
      </c>
      <c r="AB5" s="320">
        <f t="shared" si="1"/>
        <v>150</v>
      </c>
      <c r="AD5" s="380" t="s">
        <v>218</v>
      </c>
      <c r="AE5" s="380">
        <f>IF((تسعير!AI28="خشبي"),W8,IF((تسعير!AI28="سادة"),W9,IF((تسعير!AI28="ذهبي"),W10,0)))</f>
        <v>30</v>
      </c>
      <c r="AF5" s="380"/>
      <c r="AG5" s="357"/>
    </row>
    <row r="6" ht="18">
      <c r="A6" s="546" t="s">
        <v>207</v>
      </c>
      <c r="B6" s="545">
        <v>3.5</v>
      </c>
      <c r="C6" s="545">
        <v>14.6</v>
      </c>
      <c r="E6" s="320" t="s">
        <v>221</v>
      </c>
      <c r="F6" s="320">
        <f>Sheet2!B59</f>
        <v>200</v>
      </c>
      <c r="H6" s="321" t="s">
        <v>222</v>
      </c>
      <c r="I6" s="358">
        <v>16</v>
      </c>
      <c r="J6" s="359">
        <v>1</v>
      </c>
      <c r="K6" s="360">
        <f t="shared" si="0"/>
        <v>16</v>
      </c>
      <c r="M6" s="361" t="s">
        <v>223</v>
      </c>
      <c r="N6" s="361">
        <f>(N5+'شماسي و كانتليفر'!F10)*(N4)</f>
        <v>3807</v>
      </c>
      <c r="O6" s="361" t="str">
        <f>IF((N5=0),"WAIT","OK")</f>
        <v>OK</v>
      </c>
      <c r="P6" s="357"/>
      <c r="R6" s="332"/>
      <c r="S6" s="320">
        <v>2.5</v>
      </c>
      <c r="T6" s="320">
        <v>37</v>
      </c>
      <c r="U6" s="313"/>
      <c r="V6" s="320" t="s">
        <v>224</v>
      </c>
      <c r="W6" s="320">
        <f>Sheet2!B59</f>
        <v>200</v>
      </c>
      <c r="X6" s="313"/>
      <c r="Y6" s="331" t="s">
        <v>225</v>
      </c>
      <c r="Z6" s="367">
        <v>1</v>
      </c>
      <c r="AA6" s="320">
        <v>150</v>
      </c>
      <c r="AB6" s="320">
        <f t="shared" si="1"/>
        <v>150</v>
      </c>
      <c r="AD6" s="380" t="s">
        <v>223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5287.5</v>
      </c>
      <c r="AF6" s="380"/>
      <c r="AG6" s="357"/>
    </row>
    <row r="7" ht="18">
      <c r="A7" s="546" t="s">
        <v>226</v>
      </c>
      <c r="B7" s="545">
        <v>2</v>
      </c>
      <c r="C7" s="545">
        <v>10.5</v>
      </c>
      <c r="E7" s="320" t="s">
        <v>9</v>
      </c>
      <c r="F7" s="320" t="s">
        <v>30</v>
      </c>
      <c r="H7" s="321" t="s">
        <v>227</v>
      </c>
      <c r="I7" s="358">
        <v>2</v>
      </c>
      <c r="J7" s="359">
        <v>80</v>
      </c>
      <c r="K7" s="360">
        <f t="shared" si="0"/>
        <v>160</v>
      </c>
      <c r="M7" s="361" t="s">
        <v>228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750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0">
        <v>3</v>
      </c>
      <c r="T7" s="320">
        <v>45</v>
      </c>
      <c r="U7" s="313"/>
      <c r="V7" s="320" t="s">
        <v>9</v>
      </c>
      <c r="W7" s="320" t="s">
        <v>30</v>
      </c>
      <c r="X7" s="313"/>
      <c r="Y7" s="331" t="s">
        <v>229</v>
      </c>
      <c r="Z7" s="367">
        <v>1</v>
      </c>
      <c r="AA7" s="320">
        <v>150</v>
      </c>
      <c r="AB7" s="320">
        <f t="shared" si="1"/>
        <v>150</v>
      </c>
      <c r="AD7" s="380" t="s">
        <v>228</v>
      </c>
      <c r="AE7" s="380">
        <f>IF((تسعير!AJ28=V3),W3,IF((تسعير!AJ28=V5),W5,IF((تسعير!AJ28=V4),W4,IF((تسعير!AJ28=V6),W6,0))))</f>
        <v>400</v>
      </c>
      <c r="AF7" s="380"/>
      <c r="AG7" s="357"/>
    </row>
    <row r="8" ht="18">
      <c r="A8" s="546" t="s">
        <v>226</v>
      </c>
      <c r="B8" s="545">
        <v>2.5</v>
      </c>
      <c r="C8" s="545">
        <v>11.75</v>
      </c>
      <c r="E8" s="320" t="s">
        <v>230</v>
      </c>
      <c r="F8" s="320">
        <f>Table626[[#This Row],[Column2]]</f>
        <v>70</v>
      </c>
      <c r="H8" s="321" t="s">
        <v>231</v>
      </c>
      <c r="I8" s="358">
        <v>2</v>
      </c>
      <c r="J8" s="359">
        <v>20</v>
      </c>
      <c r="K8" s="360">
        <f t="shared" si="0"/>
        <v>40</v>
      </c>
      <c r="M8" s="361" t="s">
        <v>232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>
        <v>2.7</v>
      </c>
      <c r="T8" s="320"/>
      <c r="U8" s="313"/>
      <c r="V8" s="320" t="s">
        <v>230</v>
      </c>
      <c r="W8" s="320">
        <f>Sheet2!B15/1000</f>
        <v>70</v>
      </c>
      <c r="X8" s="313"/>
      <c r="Y8" s="331" t="s">
        <v>233</v>
      </c>
      <c r="Z8" s="367">
        <v>2</v>
      </c>
      <c r="AA8" s="320">
        <v>50</v>
      </c>
      <c r="AB8" s="320">
        <f t="shared" si="1"/>
        <v>100</v>
      </c>
      <c r="AD8" s="380" t="s">
        <v>232</v>
      </c>
      <c r="AE8" s="380">
        <f>IF(AND(AE3=1,تسعير!AK28=W18),Z18,IF(AND(AE3=1,تسعير!AK28=W19),AA18,IF(AND(AE3=1,تسعير!AK28=W21),AA18,IF(AND(AE3=1,تسعير!AK28=W20),AB18,IF(AND(AE3=2,تسعير!AK28=W18),Z19,IF(AND(AE3=2,تسعير!AK28=W19),AA19,IF(AND(AE3=2,تسعير!AK28=W21),AA19,IF(AND(AE3=2,تسعير!AK28=W20),AB19,"error"))))))))</f>
        <v>16</v>
      </c>
      <c r="AF8" s="380"/>
      <c r="AG8" s="357"/>
    </row>
    <row r="9" ht="18">
      <c r="A9" s="546" t="s">
        <v>226</v>
      </c>
      <c r="B9" s="545">
        <v>3</v>
      </c>
      <c r="C9" s="545">
        <v>13.5</v>
      </c>
      <c r="E9" s="320" t="s">
        <v>234</v>
      </c>
      <c r="F9" s="320">
        <f>Table626[[#This Row],[Column2]]</f>
        <v>30</v>
      </c>
      <c r="H9" s="321" t="s">
        <v>235</v>
      </c>
      <c r="I9" s="358">
        <v>7</v>
      </c>
      <c r="J9" s="359">
        <v>8</v>
      </c>
      <c r="K9" s="360">
        <f t="shared" si="0"/>
        <v>56</v>
      </c>
      <c r="M9" s="361" t="s">
        <v>236</v>
      </c>
      <c r="N9" s="361">
        <f>N8*N7</f>
        <v>4875</v>
      </c>
      <c r="O9" s="361"/>
      <c r="P9" s="357"/>
      <c r="R9" s="332"/>
      <c r="S9" s="320"/>
      <c r="T9" s="320"/>
      <c r="U9" s="313"/>
      <c r="V9" s="320" t="s">
        <v>234</v>
      </c>
      <c r="W9" s="320">
        <f>Sheet2!B41</f>
        <v>30</v>
      </c>
      <c r="X9" s="313"/>
      <c r="Y9" s="331" t="s">
        <v>237</v>
      </c>
      <c r="Z9" s="367">
        <v>36</v>
      </c>
      <c r="AA9" s="320">
        <v>25</v>
      </c>
      <c r="AB9" s="320">
        <f t="shared" si="1"/>
        <v>900</v>
      </c>
      <c r="AD9" s="380" t="s">
        <v>236</v>
      </c>
      <c r="AE9" s="380">
        <f>AE8*AE7</f>
        <v>6400</v>
      </c>
      <c r="AF9" s="380"/>
      <c r="AG9" s="357"/>
    </row>
    <row r="10" ht="18">
      <c r="A10" s="546" t="s">
        <v>226</v>
      </c>
      <c r="B10" s="545">
        <v>3.3</v>
      </c>
      <c r="C10" s="545">
        <v>16.5</v>
      </c>
      <c r="E10" s="320" t="s">
        <v>238</v>
      </c>
      <c r="F10" s="320">
        <f>W11</f>
        <v>252</v>
      </c>
      <c r="H10" s="321" t="s">
        <v>239</v>
      </c>
      <c r="I10" s="358">
        <v>8</v>
      </c>
      <c r="J10" s="359">
        <v>50</v>
      </c>
      <c r="K10" s="360">
        <f t="shared" si="0"/>
        <v>400</v>
      </c>
      <c r="M10" s="361" t="s">
        <v>240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/>
      <c r="W10" s="320"/>
      <c r="X10" s="313"/>
      <c r="Y10" s="331" t="s">
        <v>241</v>
      </c>
      <c r="Z10" s="367">
        <v>1</v>
      </c>
      <c r="AA10" s="320">
        <v>75</v>
      </c>
      <c r="AB10" s="320">
        <f t="shared" si="1"/>
        <v>75</v>
      </c>
      <c r="AD10" s="380" t="s">
        <v>240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242</v>
      </c>
      <c r="F11" s="323">
        <v>800</v>
      </c>
      <c r="H11" s="324" t="s">
        <v>243</v>
      </c>
      <c r="I11" s="362"/>
      <c r="J11" s="363"/>
      <c r="K11" s="364">
        <v>250</v>
      </c>
      <c r="M11" s="361" t="s">
        <v>244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238</v>
      </c>
      <c r="W11" s="320">
        <f>Sheet2!B14/1000</f>
        <v>252</v>
      </c>
      <c r="X11" s="313"/>
      <c r="Y11" s="331" t="s">
        <v>245</v>
      </c>
      <c r="Z11" s="367">
        <v>1</v>
      </c>
      <c r="AA11" s="320">
        <v>75</v>
      </c>
      <c r="AB11" s="320">
        <f t="shared" si="1"/>
        <v>75</v>
      </c>
      <c r="AD11" s="380" t="s">
        <v>244</v>
      </c>
      <c r="AE11" s="380">
        <f>IF(تسعير!AK28="no",0,W14)</f>
        <v>0</v>
      </c>
      <c r="AF11" s="380"/>
      <c r="AG11" s="357"/>
    </row>
    <row r="12" ht="18">
      <c r="A12" s="318"/>
      <c r="E12" s="325" t="s">
        <v>246</v>
      </c>
      <c r="F12" s="326">
        <v>800</v>
      </c>
      <c r="H12" s="327" t="s">
        <v>247</v>
      </c>
      <c r="I12" s="358"/>
      <c r="J12" s="359"/>
      <c r="K12" s="365">
        <v>2700</v>
      </c>
      <c r="M12" s="361" t="s">
        <v>248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242</v>
      </c>
      <c r="W12" s="320">
        <v>800</v>
      </c>
      <c r="X12" s="313"/>
      <c r="Y12" s="380" t="s">
        <v>247</v>
      </c>
      <c r="Z12" s="367"/>
      <c r="AA12" s="320"/>
      <c r="AB12" s="217">
        <f>Sheet2!B45</f>
        <v>2000</v>
      </c>
      <c r="AD12" s="380" t="s">
        <v>249</v>
      </c>
      <c r="AE12" s="380" t="e">
        <f>IF(تسعير!AG28="نصف جملة",((AE6+AE9+AE10+AE11+تسعير!AL28)*1.25),IF(تسعير!AG28="جملة",(((AE6+AE9+AE10+AE11+تسعير!AL28)*1.275)),((AE6+AE9+AE10+AE11+تسعير!AL28)*1.3)))</f>
        <v>#VALUE!</v>
      </c>
      <c r="AF12" s="380"/>
      <c r="AG12" s="357"/>
    </row>
    <row r="13" ht="18">
      <c r="A13" s="318"/>
      <c r="E13" s="328" t="s">
        <v>250</v>
      </c>
      <c r="F13" s="329">
        <v>1200</v>
      </c>
      <c r="H13" s="330" t="s">
        <v>54</v>
      </c>
      <c r="I13" s="363"/>
      <c r="J13" s="363"/>
      <c r="K13" s="366">
        <f>SUBTOTAL(109,Table4[قيمة])</f>
        <v>3932</v>
      </c>
      <c r="M13" s="361" t="s">
        <v>249</v>
      </c>
      <c r="N13" s="361">
        <f>IF(تسعير!AI8="نصف جملة",((N6+N9+N10+N11+تسعير!AO8)*1.275),IF(تسعير!AI8="جملة",(((N6+N9+N10+N11+تسعير!AO8)*1.25)),((N6+N9+N10+N11+تسعير!AO8)*1.3)))</f>
        <v>18478.2</v>
      </c>
      <c r="O13" s="361"/>
      <c r="P13" s="357"/>
      <c r="R13" s="332"/>
      <c r="S13" s="313"/>
      <c r="T13" s="313"/>
      <c r="U13" s="313"/>
      <c r="V13" s="320" t="s">
        <v>246</v>
      </c>
      <c r="W13" s="320">
        <v>800</v>
      </c>
      <c r="X13" s="313"/>
      <c r="Y13" s="331" t="s">
        <v>251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250</v>
      </c>
      <c r="W14" s="320">
        <f>IF(تسعير!AK28='شماسي كانتليفر'!F31,600,Sheet2!B54)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200</v>
      </c>
      <c r="I15" s="313" t="s">
        <v>252</v>
      </c>
      <c r="J15" s="313" t="s">
        <v>253</v>
      </c>
      <c r="K15" s="313" t="s">
        <v>254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54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9</v>
      </c>
      <c r="F16" s="314" t="s">
        <v>30</v>
      </c>
      <c r="H16" s="320" t="s">
        <v>255</v>
      </c>
      <c r="I16" s="545">
        <v>5.8</v>
      </c>
      <c r="J16" s="545">
        <v>8.6</v>
      </c>
      <c r="K16" s="545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256</v>
      </c>
      <c r="F17" s="313" t="s">
        <v>257</v>
      </c>
      <c r="H17" s="320" t="s">
        <v>258</v>
      </c>
      <c r="I17" s="545">
        <v>5.65</v>
      </c>
      <c r="J17" s="545" t="s">
        <v>259</v>
      </c>
      <c r="K17" s="545" t="s">
        <v>259</v>
      </c>
      <c r="P17" s="357"/>
      <c r="R17" s="332"/>
      <c r="V17" s="314" t="s">
        <v>9</v>
      </c>
      <c r="W17" s="313" t="s">
        <v>30</v>
      </c>
      <c r="X17" s="313"/>
      <c r="Y17" s="314" t="s">
        <v>200</v>
      </c>
      <c r="Z17" s="313" t="s">
        <v>252</v>
      </c>
      <c r="AA17" s="313" t="s">
        <v>253</v>
      </c>
      <c r="AB17" s="313" t="s">
        <v>254</v>
      </c>
      <c r="AG17" s="357"/>
    </row>
    <row r="18" ht="18">
      <c r="A18" s="332"/>
      <c r="E18" s="314" t="s">
        <v>260</v>
      </c>
      <c r="F18" s="313" t="s">
        <v>261</v>
      </c>
      <c r="H18" s="320" t="s">
        <v>262</v>
      </c>
      <c r="I18" s="545">
        <v>6.1</v>
      </c>
      <c r="J18" s="545" t="s">
        <v>259</v>
      </c>
      <c r="K18" s="545" t="s">
        <v>259</v>
      </c>
      <c r="N18" s="881">
        <f>N6+N9+N10+N11</f>
        <v>14214</v>
      </c>
      <c r="O18" s="881"/>
      <c r="P18" s="357"/>
      <c r="R18" s="332"/>
      <c r="V18" s="320" t="s">
        <v>256</v>
      </c>
      <c r="W18" s="331" t="s">
        <v>257</v>
      </c>
      <c r="X18" s="313"/>
      <c r="Y18" s="320" t="s">
        <v>173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263</v>
      </c>
      <c r="F19" s="313" t="s">
        <v>264</v>
      </c>
      <c r="H19" s="320" t="s">
        <v>265</v>
      </c>
      <c r="I19" s="545">
        <v>6.5</v>
      </c>
      <c r="J19" s="545" t="s">
        <v>259</v>
      </c>
      <c r="K19" s="545" t="s">
        <v>259</v>
      </c>
      <c r="N19" s="881"/>
      <c r="O19" s="881"/>
      <c r="P19" s="357"/>
      <c r="R19" s="332"/>
      <c r="V19" s="320" t="s">
        <v>260</v>
      </c>
      <c r="W19" s="331" t="s">
        <v>261</v>
      </c>
      <c r="X19" s="313"/>
      <c r="Y19" s="320" t="s">
        <v>215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266</v>
      </c>
      <c r="H20" s="320" t="s">
        <v>267</v>
      </c>
      <c r="I20" s="545">
        <v>7.5</v>
      </c>
      <c r="J20" s="545" t="s">
        <v>259</v>
      </c>
      <c r="K20" s="545" t="s">
        <v>259</v>
      </c>
      <c r="N20" s="881"/>
      <c r="O20" s="881"/>
      <c r="P20" s="357"/>
      <c r="R20" s="332"/>
      <c r="V20" s="320"/>
      <c r="W20" s="331" t="s">
        <v>264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268</v>
      </c>
      <c r="I21" s="545">
        <v>7.1</v>
      </c>
      <c r="J21" s="545">
        <v>10.6</v>
      </c>
      <c r="K21" s="545">
        <v>14.1</v>
      </c>
      <c r="P21" s="357"/>
      <c r="R21" s="332"/>
      <c r="V21" s="1148"/>
      <c r="W21" s="1149" t="s">
        <v>269</v>
      </c>
      <c r="X21" s="313"/>
      <c r="Y21" s="320"/>
      <c r="Z21" s="320"/>
      <c r="AA21" s="320"/>
      <c r="AB21" s="320"/>
      <c r="AG21" s="357"/>
    </row>
    <row r="22" ht="18">
      <c r="A22" s="332"/>
      <c r="H22" s="320" t="s">
        <v>270</v>
      </c>
      <c r="I22" s="545">
        <v>8.5</v>
      </c>
      <c r="J22" s="545">
        <v>12.8</v>
      </c>
      <c r="K22" s="545">
        <v>17.1</v>
      </c>
      <c r="N22" s="881">
        <f>N18*1.8</f>
        <v>25585.2</v>
      </c>
      <c r="O22" s="881"/>
      <c r="P22" s="357"/>
      <c r="R22" s="332"/>
      <c r="AG22" s="357"/>
    </row>
    <row r="23" ht="18">
      <c r="A23" s="332"/>
      <c r="H23" s="320" t="s">
        <v>271</v>
      </c>
      <c r="I23" s="545">
        <v>9.4</v>
      </c>
      <c r="J23" s="545">
        <v>14</v>
      </c>
      <c r="K23" s="545">
        <v>18.5</v>
      </c>
      <c r="N23" s="881"/>
      <c r="O23" s="881"/>
      <c r="P23" s="357"/>
      <c r="R23" s="332"/>
      <c r="AG23" s="357"/>
    </row>
    <row r="24">
      <c r="A24" s="318"/>
      <c r="N24" s="881"/>
      <c r="O24" s="881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201</v>
      </c>
      <c r="C27" s="337" t="s">
        <v>29</v>
      </c>
      <c r="D27" s="337" t="s">
        <v>272</v>
      </c>
      <c r="E27" s="338" t="s">
        <v>171</v>
      </c>
      <c r="F27" s="337" t="s">
        <v>273</v>
      </c>
      <c r="G27" s="337" t="s">
        <v>165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6" t="s">
        <v>274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275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869" t="s">
        <v>132</v>
      </c>
      <c r="M29" s="869"/>
      <c r="N29" s="869"/>
      <c r="O29" s="869"/>
      <c r="P29" s="869"/>
      <c r="Q29" s="869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276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277</v>
      </c>
      <c r="J30" s="218" t="s">
        <v>29</v>
      </c>
      <c r="K30" s="211" t="s">
        <v>133</v>
      </c>
      <c r="L30" s="211" t="s">
        <v>12</v>
      </c>
      <c r="M30" s="211" t="s">
        <v>134</v>
      </c>
      <c r="N30" s="211" t="s">
        <v>135</v>
      </c>
      <c r="O30" s="211" t="s">
        <v>61</v>
      </c>
      <c r="P30" s="211" t="s">
        <v>136</v>
      </c>
      <c r="Q30" s="211" t="s">
        <v>137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0">
        <v>19</v>
      </c>
      <c r="C31" s="566" t="s">
        <v>278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138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139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279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140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139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280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141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139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281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142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139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282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143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283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144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IF((تسعير!T46="ايبوكسي و دوكو"),Table12[[#This Row],[Column7]],IF((تسعير!T46="جلفنة و جوتن"),Table12[[#This Row],[Column6]]))</f>
        <v>5.9</v>
      </c>
      <c r="B37" s="320">
        <v>1</v>
      </c>
      <c r="C37" s="331" t="s">
        <v>111</v>
      </c>
      <c r="D37" s="320">
        <f>Sheet2!B27</f>
        <v>510</v>
      </c>
      <c r="E37" s="342">
        <f>Table12[[#This Row],[سعر]]*Table12[[#This Row],[ميزان]]*Table12[[#This Row],[عدد]]</f>
        <v>3009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145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IF((تسعير!T46="ايبوكسي و دوكو"),Table12[[#This Row],[Column7]],IF((تسعير!T46="جلفنة و جوتن"),Table12[[#This Row],[Column6]]))</f>
        <v>5.9</v>
      </c>
      <c r="B38" s="320">
        <v>1</v>
      </c>
      <c r="C38" s="331" t="s">
        <v>110</v>
      </c>
      <c r="D38" s="320">
        <f>Sheet2!B26</f>
        <v>220</v>
      </c>
      <c r="E38" s="342">
        <f>Table12[[#This Row],[سعر]]*Table12[[#This Row],[ميزان]]*Table12[[#This Row],[عدد]]</f>
        <v>1298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146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IF((تسعير!T46="ايبوكسي و دوكو"),Table12[[#This Row],[Column7]],IF((تسعير!T46="جلفنة و جوتن"),Table12[[#This Row],[Column6]]))</f>
        <v>5.9</v>
      </c>
      <c r="B39" s="320">
        <v>1</v>
      </c>
      <c r="C39" s="331" t="s">
        <v>45</v>
      </c>
      <c r="D39" s="320">
        <f>Sheet2!B26</f>
        <v>220</v>
      </c>
      <c r="E39" s="342">
        <f>Table12[[#This Row],[سعر]]*Table12[[#This Row],[ميزان]]*Table12[[#This Row],[عدد]]</f>
        <v>1298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147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107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148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100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149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102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150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103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105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69"/>
      <c r="J44" s="548" t="s">
        <v>54</v>
      </c>
      <c r="K44" s="570"/>
      <c r="L44" s="570"/>
      <c r="M44" s="571"/>
      <c r="N44" s="571"/>
      <c r="O44" s="572">
        <f>SUBTOTAL(109,Table161243[Column12])</f>
        <v>10450</v>
      </c>
      <c r="P44" s="570"/>
      <c r="Q44" s="242"/>
      <c r="R44" s="573">
        <f>SUBTOTAL(109,Table161243[اجمالي])</f>
        <v>40160</v>
      </c>
      <c r="S44" s="574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106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IF((تسعير!T46="A"),0,IF((تسعير!T46="جلفنة و جوتن"),(G52+G48+G30+G29+G28)))</f>
        <v>248</v>
      </c>
      <c r="B46" s="320">
        <v>1</v>
      </c>
      <c r="C46" s="331" t="s">
        <v>112</v>
      </c>
      <c r="D46" s="320">
        <v>20</v>
      </c>
      <c r="E46" s="314">
        <f>Table12[[#This Row],[سعر]]*Table12[[#This Row],[ميزان]]*Table12[[#This Row],[عدد]]</f>
        <v>4960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284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9</v>
      </c>
      <c r="K47" s="211" t="s">
        <v>151</v>
      </c>
      <c r="L47" s="211" t="s">
        <v>152</v>
      </c>
      <c r="M47" s="211" t="s">
        <v>96</v>
      </c>
      <c r="N47" s="211" t="s">
        <v>30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285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286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287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288</v>
      </c>
      <c r="K49" s="214"/>
      <c r="L49" s="211"/>
      <c r="M49" s="280"/>
      <c r="N49" s="281">
        <f>Table12[[#Totals],[Column5]]+Table161243[[#Totals],[اجمالي]]</f>
        <v>79390</v>
      </c>
      <c r="U49" s="377"/>
    </row>
    <row r="50" ht="25.5" customHeight="1">
      <c r="A50" s="341">
        <f>A47*2</f>
        <v>0</v>
      </c>
      <c r="B50" s="320">
        <v>10</v>
      </c>
      <c r="C50" s="331" t="s">
        <v>289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153</v>
      </c>
      <c r="K50" s="214"/>
      <c r="L50" s="211"/>
      <c r="M50" s="280"/>
      <c r="N50" s="281">
        <f>N49+N48</f>
        <v>79390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76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154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103207</v>
      </c>
      <c r="U51" s="377"/>
    </row>
    <row r="52" ht="25.5" customHeight="1">
      <c r="A52" s="341">
        <f>A48*4</f>
        <v>8</v>
      </c>
      <c r="B52" s="320">
        <v>1</v>
      </c>
      <c r="C52" s="331" t="s">
        <v>290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291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54</v>
      </c>
      <c r="E54" s="342">
        <f>SUBTOTAL(109,Table12[Column5])</f>
        <v>39230</v>
      </c>
      <c r="F54" s="345">
        <f>Table12[[#Totals],[Column5]]/(تسعير!T54*تسعير!T55/10000)</f>
        <v>1569.2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201</v>
      </c>
      <c r="C60" s="337" t="s">
        <v>29</v>
      </c>
      <c r="D60" s="337" t="s">
        <v>272</v>
      </c>
      <c r="E60" s="338" t="s">
        <v>171</v>
      </c>
      <c r="F60" s="337" t="s">
        <v>273</v>
      </c>
      <c r="G60" s="337" t="s">
        <v>165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292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275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869" t="s">
        <v>132</v>
      </c>
      <c r="M62" s="869"/>
      <c r="N62" s="869"/>
      <c r="O62" s="869"/>
      <c r="P62" s="869"/>
      <c r="Q62" s="869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276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133</v>
      </c>
      <c r="L63" s="211" t="s">
        <v>12</v>
      </c>
      <c r="M63" s="211" t="s">
        <v>134</v>
      </c>
      <c r="N63" s="211" t="s">
        <v>135</v>
      </c>
      <c r="O63" s="211" t="s">
        <v>61</v>
      </c>
      <c r="P63" s="211" t="s">
        <v>136</v>
      </c>
      <c r="Q63" s="211" t="s">
        <v>137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0">
        <v>19</v>
      </c>
      <c r="C64" s="566" t="s">
        <v>278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138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139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293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140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139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280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141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139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281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142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139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282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143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241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144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283</v>
      </c>
      <c r="D70" s="320">
        <f>Sheet2!B47</f>
        <v>125</v>
      </c>
      <c r="E70" s="567">
        <f>Table1257[[#This Row],[سعر]]*Table1257[[#This Row],[ميزان]]*Table1257[[#This Row],[عدد]]</f>
        <v>4500</v>
      </c>
      <c r="I70" s="212">
        <v>3</v>
      </c>
      <c r="J70" s="371" t="s">
        <v>145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IF((تسعير!T64="ايبوكسي و دوكو"),Table1257[[#This Row],[Column7]],IF((تسعير!T64="جلفنة و جوتن"),Table1257[[#This Row],[Column6]]))</f>
        <v>5.9</v>
      </c>
      <c r="B71" s="320">
        <v>1</v>
      </c>
      <c r="C71" s="331" t="s">
        <v>111</v>
      </c>
      <c r="D71" s="320">
        <f>Sheet2!B27</f>
        <v>510</v>
      </c>
      <c r="E71" s="568">
        <f>Table1257[[#This Row],[سعر]]*Table1257[[#This Row],[ميزان]]*Table1257[[#This Row],[عدد]]</f>
        <v>3009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146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IF((تسعير!T64="ايبوكسي و دوكو"),Table1257[[#This Row],[Column7]],IF((تسعير!T64="جلفنة و جوتن"),Table1257[[#This Row],[Column6]]))</f>
        <v>5.9</v>
      </c>
      <c r="B72" s="320">
        <v>1</v>
      </c>
      <c r="C72" s="331" t="s">
        <v>110</v>
      </c>
      <c r="D72" s="320">
        <f>Sheet2!B26</f>
        <v>220</v>
      </c>
      <c r="E72" s="568">
        <f>Table1257[[#This Row],[سعر]]*Table1257[[#This Row],[ميزان]]*Table1257[[#This Row],[عدد]]</f>
        <v>1298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147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IF((تسعير!T64="ايبوكسي و دوكو"),Table1257[[#This Row],[Column7]],IF((تسعير!T64="جلفنة و جوتن"),Table1257[[#This Row],[Column6]]))</f>
        <v>5.9</v>
      </c>
      <c r="B73" s="320">
        <v>1</v>
      </c>
      <c r="C73" s="331" t="s">
        <v>45</v>
      </c>
      <c r="D73" s="320">
        <f>Sheet2!B25</f>
        <v>95</v>
      </c>
      <c r="E73" s="568">
        <f>Table1257[[#This Row],[سعر]]*Table1257[[#This Row],[ميزان]]*Table1257[[#This Row],[عدد]]</f>
        <v>560.5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148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107</v>
      </c>
      <c r="D74" s="320">
        <f>Sheet2!B24</f>
        <v>400</v>
      </c>
      <c r="E74" s="568">
        <f>Table1257[[#This Row],[سعر]]*Table1257[[#This Row],[ميزان]]*Table1257[[#This Row],[عدد]]</f>
        <v>400</v>
      </c>
      <c r="I74" s="212">
        <v>2</v>
      </c>
      <c r="J74" s="371" t="s">
        <v>149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100</v>
      </c>
      <c r="D75" s="320">
        <f>Sheet2!B48</f>
        <v>25</v>
      </c>
      <c r="E75" s="568">
        <f>Table1257[[#This Row],[سعر]]*Table1257[[#This Row],[ميزان]]*Table1257[[#This Row],[عدد]]</f>
        <v>400</v>
      </c>
      <c r="I75" s="212">
        <v>2</v>
      </c>
      <c r="J75" s="371" t="s">
        <v>150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102</v>
      </c>
      <c r="D76" s="320">
        <f>Sheet2!B48</f>
        <v>25</v>
      </c>
      <c r="E76" s="568">
        <f>Table1257[[#This Row],[سعر]]*Table1257[[#This Row],[ميزان]]*Table1257[[#This Row],[عدد]]</f>
        <v>400</v>
      </c>
      <c r="I76" s="212">
        <f>I73</f>
        <v>8</v>
      </c>
      <c r="J76" s="37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103</v>
      </c>
      <c r="D77" s="320">
        <v>25</v>
      </c>
      <c r="E77" s="568">
        <f>Table1257[[#This Row],[سعر]]*Table1257[[#This Row],[ميزان]]*Table1257[[#This Row],[عدد]]</f>
        <v>100</v>
      </c>
      <c r="I77" s="569"/>
      <c r="J77" s="548" t="s">
        <v>54</v>
      </c>
      <c r="K77" s="570"/>
      <c r="L77" s="570"/>
      <c r="M77" s="571"/>
      <c r="N77" s="571"/>
      <c r="O77" s="572">
        <f>SUBTOTAL(109,Table16124360[Column12])</f>
        <v>10450</v>
      </c>
      <c r="P77" s="570"/>
      <c r="Q77" s="242"/>
      <c r="R77" s="573">
        <f>SUBTOTAL(109,Table16124360[اجمالي])</f>
        <v>42420</v>
      </c>
      <c r="S77" s="574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105</v>
      </c>
      <c r="D78" s="320">
        <v>18</v>
      </c>
      <c r="E78" s="568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106</v>
      </c>
      <c r="D79" s="320">
        <v>40</v>
      </c>
      <c r="E79" s="568">
        <f>Table1257[[#This Row],[سعر]]*Table1257[[#This Row],[ميزان]]*Table1257[[#This Row],[عدد]]</f>
        <v>200</v>
      </c>
    </row>
    <row r="80" ht="18">
      <c r="A80" s="381">
        <f>IF((تسعير!T64="A"),0,IF((تسعير!T64="جلفنة و جوتن"),(G86+G82+G63+G62+G61)))</f>
        <v>248</v>
      </c>
      <c r="B80" s="320">
        <v>1</v>
      </c>
      <c r="C80" s="331" t="s">
        <v>112</v>
      </c>
      <c r="D80" s="320">
        <v>20</v>
      </c>
      <c r="E80" s="314">
        <f>Table1257[[#This Row],[سعر]]*Table1257[[#This Row],[ميزان]]*Table1257[[#This Row],[عدد]]</f>
        <v>4960</v>
      </c>
      <c r="J80" s="218" t="s">
        <v>9</v>
      </c>
      <c r="K80" s="211" t="s">
        <v>151</v>
      </c>
      <c r="L80" s="211" t="s">
        <v>152</v>
      </c>
      <c r="M80" s="211" t="s">
        <v>96</v>
      </c>
      <c r="N80" s="211" t="s">
        <v>30</v>
      </c>
    </row>
    <row r="81" ht="18">
      <c r="A81" s="381">
        <f>IF((تسعير!T71="بالتات"),0,(A61+A62))</f>
        <v>0</v>
      </c>
      <c r="B81" s="320">
        <v>1</v>
      </c>
      <c r="C81" s="331" t="s">
        <v>284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286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285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288</v>
      </c>
      <c r="K82" s="214"/>
      <c r="L82" s="211"/>
      <c r="M82" s="280"/>
      <c r="N82" s="281">
        <f>Table1257[[#Totals],[Column5]]+Table16124360[[#Totals],[اجمالي]]</f>
        <v>88303.5</v>
      </c>
    </row>
    <row r="83" ht="18">
      <c r="A83" s="381">
        <f>A82*2</f>
        <v>4</v>
      </c>
      <c r="B83" s="320">
        <v>1</v>
      </c>
      <c r="C83" s="331" t="s">
        <v>287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153</v>
      </c>
      <c r="K83" s="214"/>
      <c r="L83" s="211"/>
      <c r="M83" s="280"/>
      <c r="N83" s="281">
        <f>N82+N81</f>
        <v>88303.5</v>
      </c>
    </row>
    <row r="84" ht="18">
      <c r="A84" s="381">
        <f>A81*1.5</f>
        <v>0</v>
      </c>
      <c r="B84" s="320">
        <v>10</v>
      </c>
      <c r="C84" s="331" t="s">
        <v>289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154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114794.55</v>
      </c>
    </row>
    <row r="85" ht="18">
      <c r="A85" s="381">
        <f>ROUND((F62+F63)*0.4/3,0)</f>
        <v>1</v>
      </c>
      <c r="B85" s="320">
        <v>1</v>
      </c>
      <c r="C85" s="331" t="s">
        <v>76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290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291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54</v>
      </c>
      <c r="E88" s="342">
        <f>SUBTOTAL(109,Table1257[Column5])</f>
        <v>45883.5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J35" zoomScale="55" zoomScaleNormal="55" workbookViewId="0">
      <selection activeCell="R69" sqref="R69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0" t="s">
        <v>294</v>
      </c>
      <c r="B1" s="531">
        <f>(F1*D1)/10000</f>
        <v>20</v>
      </c>
      <c r="C1" s="532" t="s">
        <v>164</v>
      </c>
      <c r="D1" s="533">
        <f>تسعير!AT34</f>
        <v>500</v>
      </c>
      <c r="E1" s="532" t="s">
        <v>125</v>
      </c>
      <c r="F1" s="533">
        <f>تسعير!AT33</f>
        <v>400</v>
      </c>
      <c r="G1" s="532" t="s">
        <v>295</v>
      </c>
      <c r="H1" s="533" t="str">
        <f>تسعير!AT26</f>
        <v>خشبي</v>
      </c>
      <c r="I1" s="547" t="str">
        <f>تسعير!AT32</f>
        <v>بالتات</v>
      </c>
      <c r="J1" s="534"/>
      <c r="K1" s="192"/>
      <c r="L1" s="874" t="s">
        <v>0</v>
      </c>
      <c r="M1" s="875"/>
      <c r="N1" s="87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296</v>
      </c>
      <c r="AW1" s="189">
        <f>(BA1*AY1)/10000</f>
        <v>20</v>
      </c>
      <c r="AX1" s="190" t="s">
        <v>164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874" t="s">
        <v>0</v>
      </c>
      <c r="BH1" s="875"/>
      <c r="BI1" s="876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5" t="s">
        <v>9</v>
      </c>
      <c r="B2" s="536" t="s">
        <v>28</v>
      </c>
      <c r="C2" s="536" t="s">
        <v>297</v>
      </c>
      <c r="D2" s="536" t="s">
        <v>30</v>
      </c>
      <c r="E2" s="536" t="s">
        <v>298</v>
      </c>
      <c r="F2" s="536" t="s">
        <v>299</v>
      </c>
      <c r="G2" s="527"/>
      <c r="H2" s="537" t="s">
        <v>300</v>
      </c>
      <c r="I2" s="537"/>
      <c r="J2" s="537" t="s">
        <v>301</v>
      </c>
      <c r="L2" s="877"/>
      <c r="M2" s="878"/>
      <c r="N2" s="879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297</v>
      </c>
      <c r="AY2" s="194" t="s">
        <v>30</v>
      </c>
      <c r="AZ2" s="194" t="s">
        <v>298</v>
      </c>
      <c r="BA2" s="194" t="s">
        <v>299</v>
      </c>
      <c r="BC2" s="195" t="s">
        <v>300</v>
      </c>
      <c r="BD2" s="195"/>
      <c r="BE2" s="195" t="s">
        <v>301</v>
      </c>
      <c r="BG2" s="877"/>
      <c r="BH2" s="878"/>
      <c r="BI2" s="879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5" t="s">
        <v>302</v>
      </c>
      <c r="B3" s="538">
        <f>ROUNDUP((12+((ROUNDUP((D1-210),15))/15)),0)</f>
        <v>32</v>
      </c>
      <c r="C3" s="539">
        <f>F1-16.5</f>
        <v>383.5</v>
      </c>
      <c r="D3" s="536" t="s">
        <v>303</v>
      </c>
      <c r="E3" s="536">
        <v>2.3</v>
      </c>
      <c r="F3" s="536">
        <f>IF(($H$1="سادة"),(J3*H3*E3*($U$2+(Sheet2!B41*1000))/1000),(J3*H3*E3*($U$2+(Sheet2!B15))/1000))</f>
        <v>94796.8</v>
      </c>
      <c r="G3" s="527"/>
      <c r="H3" s="537">
        <f>CEILING(Table80102114[[#This Row],[طول]]/100,0.5)</f>
        <v>4</v>
      </c>
      <c r="I3" s="279">
        <f ref="I3:I8" t="shared" si="0">(H3*100)/C3</f>
        <v>1.0430247718383312</v>
      </c>
      <c r="J3" s="540">
        <f ref="J3:J8" t="shared" si="1">B3/(ROUNDDOWN(I3,0))</f>
        <v>32</v>
      </c>
      <c r="L3" s="870" t="s">
        <v>17</v>
      </c>
      <c r="M3" s="871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872">
        <f>NOW()</f>
        <v>46139.61435265046</v>
      </c>
      <c r="S3" s="873"/>
      <c r="T3" s="873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302</v>
      </c>
      <c r="AW3" s="196">
        <f>ROUNDUP((12+((ROUNDUP((AY1-210),18))/18)),0)</f>
        <v>23</v>
      </c>
      <c r="AX3" s="197">
        <f>BA1-16.5</f>
        <v>483.5</v>
      </c>
      <c r="AY3" s="194" t="s">
        <v>303</v>
      </c>
      <c r="AZ3" s="194">
        <v>2</v>
      </c>
      <c r="BA3" s="194">
        <f>IF((تسعير!$AT$46="سادة"),(BE3*BC3*AZ3*(Sheet2!$B$14+(Sheet2!B41*1000))/1000),(BE3*BC3*AZ3*(Sheet2!$B$14+Sheet2!$B$15)/1000))</f>
        <v>74060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870" t="s">
        <v>17</v>
      </c>
      <c r="BH3" s="871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872">
        <f>NOW()</f>
        <v>46139.61435265046</v>
      </c>
      <c r="BN3" s="873"/>
      <c r="BO3" s="873"/>
      <c r="BP3" s="235"/>
      <c r="BQ3" s="235"/>
      <c r="BR3" s="235"/>
      <c r="BS3" s="207"/>
      <c r="BT3" s="216" t="s">
        <v>19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5" t="s">
        <v>304</v>
      </c>
      <c r="B4" s="536">
        <v>2</v>
      </c>
      <c r="C4" s="538">
        <f>F1</f>
        <v>400</v>
      </c>
      <c r="D4" s="536" t="s">
        <v>303</v>
      </c>
      <c r="E4" s="536">
        <v>3.8</v>
      </c>
      <c r="F4" s="536">
        <f>IF(($H$1="سادة"),(J4*H4*E4*($U$2+(Sheet2!B41*1000))/1000),(J4*H4*E4*($U$2+(Sheet2!B15))/1000))</f>
        <v>9788.8</v>
      </c>
      <c r="G4" s="541"/>
      <c r="H4" s="537">
        <f>CEILING(Table80102114[[#This Row],[طول]]/100,0.5)</f>
        <v>4</v>
      </c>
      <c r="I4" s="279">
        <f t="shared" si="0"/>
        <v>1</v>
      </c>
      <c r="J4" s="540">
        <f t="shared" si="1"/>
        <v>2</v>
      </c>
      <c r="K4" s="1"/>
      <c r="L4" s="208"/>
      <c r="M4" s="208"/>
      <c r="N4" s="209"/>
      <c r="O4" s="869" t="s">
        <v>20</v>
      </c>
      <c r="P4" s="869"/>
      <c r="Q4" s="869"/>
      <c r="R4" s="869"/>
      <c r="S4" s="869"/>
      <c r="T4" s="869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55"/>
      <c r="AU4" s="207"/>
      <c r="AV4" s="193" t="s">
        <v>305</v>
      </c>
      <c r="AW4" s="194">
        <v>2</v>
      </c>
      <c r="AX4" s="196">
        <f>BA1</f>
        <v>500</v>
      </c>
      <c r="AY4" s="194" t="s">
        <v>303</v>
      </c>
      <c r="AZ4" s="194">
        <v>1.7</v>
      </c>
      <c r="BA4" s="194">
        <f>IF((تسعير!$AT$46="سادة"),(BE4*BC4*AZ4*(Sheet2!$B$14+(Sheet2!B41*1000))/1000),(BE4*BC4*AZ4*(Sheet2!$B$14+Sheet2!$B$15)/1000))</f>
        <v>5474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869" t="s">
        <v>20</v>
      </c>
      <c r="BK4" s="869"/>
      <c r="BL4" s="869"/>
      <c r="BM4" s="869"/>
      <c r="BN4" s="869"/>
      <c r="BO4" s="869"/>
      <c r="BP4" s="236"/>
      <c r="BQ4" s="236"/>
      <c r="BR4" s="236"/>
      <c r="BS4" s="207"/>
      <c r="BT4" s="216" t="s">
        <v>21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171</v>
      </c>
      <c r="CO4" s="255"/>
    </row>
    <row r="5" ht="18.6" s="187" customFormat="1">
      <c r="A5" s="535" t="s">
        <v>306</v>
      </c>
      <c r="B5" s="536">
        <v>2</v>
      </c>
      <c r="C5" s="538">
        <f>D1</f>
        <v>500</v>
      </c>
      <c r="D5" s="536" t="s">
        <v>303</v>
      </c>
      <c r="E5" s="536">
        <v>3.8</v>
      </c>
      <c r="F5" s="536">
        <f>IF(($H$1="سادة"),(J5*H5*E5*($U$2+(Sheet2!B41*1000))/1000),(J5*H5*E5*($U$2+(Sheet2!B15))/1000))</f>
        <v>12236</v>
      </c>
      <c r="G5" s="541"/>
      <c r="H5" s="537">
        <f>CEILING(Table80102114[[#This Row],[طول]]/100,0.5)</f>
        <v>5</v>
      </c>
      <c r="I5" s="279">
        <f t="shared" si="0"/>
        <v>1</v>
      </c>
      <c r="J5" s="540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307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306</v>
      </c>
      <c r="AW5" s="194">
        <v>2</v>
      </c>
      <c r="AX5" s="196">
        <f>AY1</f>
        <v>400</v>
      </c>
      <c r="AY5" s="194" t="s">
        <v>303</v>
      </c>
      <c r="AZ5" s="194">
        <v>1.7</v>
      </c>
      <c r="BA5" s="194">
        <f>IF((تسعير!$AT$46="سادة"),(BE5*BC5*AZ5*(Sheet2!$B$14+(Sheet2!B41*1000))/1000),(BE5*BC5*AZ5*(Sheet2!$B$14+Sheet2!$B$15)/1000))</f>
        <v>4379.2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307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5" s="207"/>
      <c r="CJ5" s="207" t="s">
        <v>173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5" t="s">
        <v>308</v>
      </c>
      <c r="B6" s="536">
        <v>2</v>
      </c>
      <c r="C6" s="538">
        <f>F1</f>
        <v>400</v>
      </c>
      <c r="D6" s="536" t="s">
        <v>303</v>
      </c>
      <c r="E6" s="536">
        <v>1.7</v>
      </c>
      <c r="F6" s="536">
        <f>IF(($H$1="سادة"),(J6*H6*E6*($U$2+(Sheet2!B41*1000))/1000),(J6*H6*E6*($U$2+(Sheet2!B15))/1000))</f>
        <v>4379.2</v>
      </c>
      <c r="G6" s="541"/>
      <c r="H6" s="537">
        <f>CEILING(Table80102114[[#This Row],[طول]]/100,0.5)</f>
        <v>4</v>
      </c>
      <c r="I6" s="279">
        <f t="shared" si="0"/>
        <v>1</v>
      </c>
      <c r="J6" s="540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309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0.0091700048105880991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310</v>
      </c>
      <c r="AW6" s="194">
        <v>1</v>
      </c>
      <c r="AX6" s="194">
        <f>(15.6*(AW3-1)+4)</f>
        <v>347.2</v>
      </c>
      <c r="AY6" s="194" t="s">
        <v>303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311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0.0091700048105880991</v>
      </c>
      <c r="BS6" s="216"/>
      <c r="BT6" s="216" t="s">
        <v>44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7.096</v>
      </c>
      <c r="CI6" s="216"/>
      <c r="CJ6" s="216" t="s">
        <v>175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5" t="s">
        <v>312</v>
      </c>
      <c r="B7" s="536">
        <v>2</v>
      </c>
      <c r="C7" s="538">
        <f>D1</f>
        <v>500</v>
      </c>
      <c r="D7" s="536" t="s">
        <v>303</v>
      </c>
      <c r="E7" s="536">
        <v>1.7</v>
      </c>
      <c r="F7" s="536">
        <f>IF(($H$1="سادة"),(J7*H7*E7*($U$2+(Sheet2!B41*1000))/1000),(J7*H7*E7*($U$2+(Sheet2!B15))/1000))</f>
        <v>5474</v>
      </c>
      <c r="G7" s="541"/>
      <c r="H7" s="537">
        <f>CEILING(Table80102114[[#This Row],[طول]]/100,0.5)</f>
        <v>5</v>
      </c>
      <c r="I7" s="279">
        <f t="shared" si="0"/>
        <v>1</v>
      </c>
      <c r="J7" s="540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313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0.02380983705205331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IF((تسعير!AT25="ايبوكسي و دوكو"),IF(((Table15880[[#Totals],[المسطح]]+Table166273[[#Totals],[Column12]])&gt;0),(Table15880[[#Totals],[المسطح]]+Table166273[[#Totals],[Column12]]+1)*Table66374[[#This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314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313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0.02380983705205331</v>
      </c>
      <c r="BS7" s="216"/>
      <c r="BT7" s="216" t="s">
        <v>48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IF((تسعير!AT45="ايبوكسي و دوكو"),IF(((Table1588090[[#Totals],[المسطح]]+Table16627383[[#Totals],[Column12]])&gt;0),(Table1588090[[#Totals],[المسطح]]+Table16627383[[#Totals],[Column12]]+1)*Table6637484[[#This Row],[المعدل]]),0)</f>
        <v>7.74</v>
      </c>
      <c r="CI7" s="216"/>
      <c r="CJ7" s="216" t="s">
        <v>177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5" t="s">
        <v>315</v>
      </c>
      <c r="B8" s="536">
        <v>2</v>
      </c>
      <c r="C8" s="536">
        <f>C3</f>
        <v>383.5</v>
      </c>
      <c r="D8" s="536" t="s">
        <v>303</v>
      </c>
      <c r="E8" s="536">
        <v>0.65</v>
      </c>
      <c r="F8" s="536">
        <f>IF(($H$1="سادة"),(J8*H8*E8*($U$2+(Sheet2!B41*1000))/1000),(J8*H8*E8*($U$2+(Sheet2!B15))/1000))</f>
        <v>1674.4</v>
      </c>
      <c r="G8" s="541"/>
      <c r="H8" s="537">
        <f>CEILING(Table80102114[[#This Row],[طول]]/100,0.5)</f>
        <v>4</v>
      </c>
      <c r="I8" s="279">
        <f t="shared" si="0"/>
        <v>1.0430247718383312</v>
      </c>
      <c r="J8" s="540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48" t="s">
        <v>316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0.028314400818657989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317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48" t="s">
        <v>316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0.028314400818657989</v>
      </c>
      <c r="BS8" s="216"/>
      <c r="BT8" s="216" t="s">
        <v>52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8" s="216"/>
      <c r="CJ8" s="216" t="s">
        <v>179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5" t="s">
        <v>310</v>
      </c>
      <c r="B9" s="536">
        <v>2</v>
      </c>
      <c r="C9" s="536">
        <f>(15.6*(B3-1)+4)</f>
        <v>487.59999999999997</v>
      </c>
      <c r="D9" s="536" t="s">
        <v>303</v>
      </c>
      <c r="E9" s="536">
        <v>1000</v>
      </c>
      <c r="F9" s="536">
        <f>E9*B9</f>
        <v>2000</v>
      </c>
      <c r="G9" s="541"/>
      <c r="H9" s="542"/>
      <c r="I9" s="527"/>
      <c r="J9" s="527"/>
      <c r="L9" s="211">
        <v>5</v>
      </c>
      <c r="M9" s="212">
        <v>0</v>
      </c>
      <c r="N9" s="213" t="s">
        <v>311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318</v>
      </c>
      <c r="AW9" s="194">
        <v>1</v>
      </c>
      <c r="AX9" s="196">
        <v>100</v>
      </c>
      <c r="AY9" s="194" t="s">
        <v>303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311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181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5" t="s">
        <v>314</v>
      </c>
      <c r="B10" s="536"/>
      <c r="C10" s="536">
        <f>B3*2</f>
        <v>64</v>
      </c>
      <c r="D10" s="536" t="s">
        <v>28</v>
      </c>
      <c r="E10" s="194">
        <v>20</v>
      </c>
      <c r="F10" s="536">
        <f>E10*C10</f>
        <v>1280</v>
      </c>
      <c r="G10" s="541"/>
      <c r="H10" s="542"/>
      <c r="I10" s="527"/>
      <c r="J10" s="527"/>
      <c r="L10" s="211">
        <v>5</v>
      </c>
      <c r="M10" s="212">
        <f>IF(OR((N3="B11"),(N3="B12"),(N3="B21"),(N3="B22"),(N3="B31"),(N3="B32")),3,0)</f>
        <v>0</v>
      </c>
      <c r="N10" s="215" t="s">
        <v>319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320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319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183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5" t="s">
        <v>317</v>
      </c>
      <c r="B11" s="536"/>
      <c r="C11" s="536">
        <f>B3*2</f>
        <v>64</v>
      </c>
      <c r="D11" s="536" t="s">
        <v>28</v>
      </c>
      <c r="E11" s="194">
        <v>18</v>
      </c>
      <c r="F11" s="536">
        <f>E11*C11</f>
        <v>1152</v>
      </c>
      <c r="G11" s="541"/>
      <c r="H11" s="542"/>
      <c r="I11" s="527"/>
      <c r="J11" s="527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0.0612942426812994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321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0.0612942426812994</v>
      </c>
      <c r="BS11" s="216"/>
      <c r="BT11" s="216" t="s">
        <v>62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185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5" t="s">
        <v>318</v>
      </c>
      <c r="B12" s="536">
        <v>1</v>
      </c>
      <c r="C12" s="538">
        <v>100</v>
      </c>
      <c r="D12" s="536" t="s">
        <v>303</v>
      </c>
      <c r="E12" s="194">
        <v>250</v>
      </c>
      <c r="F12" s="536">
        <f>Table80102114[[#This Row],[wt/m]]*Table80102114[[#This Row],[عدد]]</f>
        <v>250</v>
      </c>
      <c r="G12" s="541"/>
      <c r="H12" s="542"/>
      <c r="I12" s="527"/>
      <c r="J12" s="543"/>
      <c r="L12" s="216"/>
      <c r="M12" s="216"/>
      <c r="N12" s="217"/>
      <c r="O12" s="869" t="s">
        <v>72</v>
      </c>
      <c r="P12" s="869"/>
      <c r="Q12" s="869"/>
      <c r="R12" s="869"/>
      <c r="S12" s="869"/>
      <c r="T12" s="869"/>
      <c r="U12" s="216"/>
      <c r="V12" s="216"/>
      <c r="W12" s="216"/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322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869" t="s">
        <v>72</v>
      </c>
      <c r="BK12" s="869"/>
      <c r="BL12" s="869"/>
      <c r="BM12" s="869"/>
      <c r="BN12" s="869"/>
      <c r="BO12" s="869"/>
      <c r="BP12" s="216"/>
      <c r="BQ12" s="216"/>
      <c r="BR12" s="216"/>
      <c r="BS12" s="216"/>
      <c r="BT12" s="216" t="s">
        <v>66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187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5" t="s">
        <v>323</v>
      </c>
      <c r="B13" s="536"/>
      <c r="C13" s="536">
        <v>4</v>
      </c>
      <c r="D13" s="536" t="s">
        <v>324</v>
      </c>
      <c r="E13" s="194">
        <v>250</v>
      </c>
      <c r="F13" s="536">
        <f>C13*E13</f>
        <v>1000</v>
      </c>
      <c r="G13" s="541"/>
      <c r="H13" s="527"/>
      <c r="I13" s="541"/>
      <c r="J13" s="541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189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5" t="s">
        <v>325</v>
      </c>
      <c r="B14" s="536"/>
      <c r="C14" s="536">
        <v>8</v>
      </c>
      <c r="D14" s="536" t="s">
        <v>28</v>
      </c>
      <c r="E14" s="194">
        <v>300</v>
      </c>
      <c r="F14" s="536">
        <f>C14*E14</f>
        <v>2400</v>
      </c>
      <c r="G14" s="541"/>
      <c r="H14" s="527"/>
      <c r="I14" s="541"/>
      <c r="J14" s="541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0.0028600404867331303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5732.9085000000005</v>
      </c>
      <c r="AX14" s="194"/>
      <c r="AY14" s="194"/>
      <c r="AZ14" s="194"/>
      <c r="BA14" s="194">
        <f>SUBTOTAL(109,Table8091[price])</f>
        <v>104234.7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0.0028600404867331303</v>
      </c>
      <c r="BS14" s="216"/>
      <c r="BT14" s="216" t="s">
        <v>71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5" t="s">
        <v>321</v>
      </c>
      <c r="B15" s="536"/>
      <c r="C15" s="536">
        <f>B3*2</f>
        <v>64</v>
      </c>
      <c r="D15" s="536" t="s">
        <v>28</v>
      </c>
      <c r="E15" s="194">
        <v>120</v>
      </c>
      <c r="F15" s="536">
        <f>C15*E15</f>
        <v>7680</v>
      </c>
      <c r="G15" s="541"/>
      <c r="H15" s="527"/>
      <c r="I15" s="527"/>
      <c r="J15" s="527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0.00078651113385161083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62">
        <v>110</v>
      </c>
      <c r="BQ15" s="240">
        <f t="shared" si="5"/>
        <v>220</v>
      </c>
      <c r="BR15" s="241">
        <f>(BQ15)/$R$68</f>
        <v>0.00078651113385161083</v>
      </c>
      <c r="BS15" s="216"/>
      <c r="BT15" s="216" t="s">
        <v>73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5" t="s">
        <v>322</v>
      </c>
      <c r="B16" s="536"/>
      <c r="C16" s="536">
        <f>B3*2</f>
        <v>64</v>
      </c>
      <c r="D16" s="536" t="s">
        <v>28</v>
      </c>
      <c r="E16" s="194">
        <v>120</v>
      </c>
      <c r="F16" s="536">
        <f>C16*E16</f>
        <v>7680</v>
      </c>
      <c r="G16" s="541"/>
      <c r="H16" s="527"/>
      <c r="I16" s="527"/>
      <c r="J16" s="527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0.00046475657909413363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62">
        <v>130</v>
      </c>
      <c r="BQ16" s="240">
        <f t="shared" si="5"/>
        <v>130</v>
      </c>
      <c r="BR16" s="241">
        <f>(BQ16)/$R$68</f>
        <v>0.00046475657909413363</v>
      </c>
      <c r="BS16" s="216"/>
      <c r="BT16" s="216" t="s">
        <v>75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5" t="s">
        <v>326</v>
      </c>
      <c r="B17" s="536">
        <v>2</v>
      </c>
      <c r="C17" s="536"/>
      <c r="D17" s="536" t="s">
        <v>303</v>
      </c>
      <c r="E17" s="194">
        <v>1000</v>
      </c>
      <c r="F17" s="536">
        <f>B17*E17</f>
        <v>2000</v>
      </c>
      <c r="G17" s="541"/>
      <c r="H17" s="527"/>
      <c r="I17" s="527"/>
      <c r="J17" s="527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0.0028600404867331303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62">
        <v>50</v>
      </c>
      <c r="BQ17" s="240">
        <f t="shared" si="5"/>
        <v>800</v>
      </c>
      <c r="BR17" s="241">
        <f>(BQ17)/$R$68</f>
        <v>0.0028600404867331303</v>
      </c>
      <c r="BS17" s="216"/>
      <c r="BT17" s="216" t="s">
        <v>78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327</v>
      </c>
      <c r="B18" s="194"/>
      <c r="C18" s="194">
        <f>C19</f>
        <v>123</v>
      </c>
      <c r="D18" s="194"/>
      <c r="E18" s="194">
        <v>20</v>
      </c>
      <c r="F18" s="536">
        <f>Table80102114[[#This Row],[طول]]*Table80102114[[#This Row],[wt/m]]</f>
        <v>2460</v>
      </c>
      <c r="G18" s="541"/>
      <c r="H18" s="527"/>
      <c r="I18" s="527"/>
      <c r="J18" s="527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81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5" t="s">
        <v>328</v>
      </c>
      <c r="B19" s="536"/>
      <c r="C19" s="536">
        <f>ROUNDUP(((C3*B3)/100),0)</f>
        <v>123</v>
      </c>
      <c r="D19" s="536" t="s">
        <v>303</v>
      </c>
      <c r="E19" s="194">
        <v>10</v>
      </c>
      <c r="F19" s="536">
        <f>Table80102114[[#This Row],[طول]]*Table80102114[[#This Row],[wt/m]]</f>
        <v>1230</v>
      </c>
      <c r="G19" s="527"/>
      <c r="H19" s="527"/>
      <c r="I19" s="527"/>
      <c r="J19" s="527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0.006971348686412005</v>
      </c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1" t="s">
        <v>54</v>
      </c>
      <c r="BH19" s="552"/>
      <c r="BI19" s="553" t="s">
        <v>54</v>
      </c>
      <c r="BJ19" s="554"/>
      <c r="BK19" s="554"/>
      <c r="BL19" s="563"/>
      <c r="BM19" s="551"/>
      <c r="BN19" s="551"/>
      <c r="BO19" s="551"/>
      <c r="BP19" s="555"/>
      <c r="BQ19" s="556">
        <f>SUBTOTAL(109,Table15617282[اجمالي])</f>
        <v>1950</v>
      </c>
      <c r="BR19" s="557">
        <f>Table15617282[[#Totals],[اجمالي]]/$R$68</f>
        <v>0.006971348686412005</v>
      </c>
      <c r="BS19" s="216"/>
      <c r="BT19" s="216" t="s">
        <v>83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5" t="s">
        <v>329</v>
      </c>
      <c r="B20" s="536" t="s">
        <v>330</v>
      </c>
      <c r="C20" s="536">
        <f>ROUNDUP((B3/3),0)</f>
        <v>11</v>
      </c>
      <c r="D20" s="536" t="s">
        <v>28</v>
      </c>
      <c r="E20" s="194">
        <v>275</v>
      </c>
      <c r="F20" s="536">
        <f>Table80102114[[#This Row],[طول]]*Table80102114[[#This Row],[wt/m]]</f>
        <v>3025</v>
      </c>
      <c r="G20" s="527"/>
      <c r="H20" s="527"/>
      <c r="I20" s="527"/>
      <c r="J20" s="527"/>
      <c r="L20" s="216"/>
      <c r="M20" s="216"/>
      <c r="N20" s="217"/>
      <c r="O20" s="869" t="s">
        <v>95</v>
      </c>
      <c r="P20" s="869"/>
      <c r="Q20" s="869"/>
      <c r="R20" s="869"/>
      <c r="S20" s="869"/>
      <c r="T20" s="869"/>
      <c r="U20" s="216"/>
      <c r="V20" s="216"/>
      <c r="W20" s="216"/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869" t="s">
        <v>95</v>
      </c>
      <c r="BK20" s="869"/>
      <c r="BL20" s="869"/>
      <c r="BM20" s="869"/>
      <c r="BN20" s="869"/>
      <c r="BO20" s="869"/>
      <c r="BP20" s="216"/>
      <c r="BQ20" s="216"/>
      <c r="BR20" s="216"/>
      <c r="BS20" s="216"/>
      <c r="BT20" s="216" t="s">
        <v>85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5" t="s">
        <v>331</v>
      </c>
      <c r="B21" s="536" t="s">
        <v>332</v>
      </c>
      <c r="C21" s="536">
        <f>C20</f>
        <v>11</v>
      </c>
      <c r="D21" s="536" t="s">
        <v>28</v>
      </c>
      <c r="E21" s="194">
        <v>45</v>
      </c>
      <c r="F21" s="536">
        <f>E21*C21</f>
        <v>495</v>
      </c>
      <c r="G21" s="527"/>
      <c r="H21" s="527"/>
      <c r="I21" s="527"/>
      <c r="J21" s="527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5" t="s">
        <v>333</v>
      </c>
      <c r="B22" s="536" t="s">
        <v>28</v>
      </c>
      <c r="C22" s="536">
        <v>2</v>
      </c>
      <c r="D22" s="536" t="s">
        <v>28</v>
      </c>
      <c r="E22" s="194">
        <v>800</v>
      </c>
      <c r="F22" s="536">
        <f>E22*C22</f>
        <v>1600</v>
      </c>
      <c r="G22" s="527"/>
      <c r="H22" s="527"/>
      <c r="I22" s="527"/>
      <c r="J22" s="527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0.0038610546570897256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0.0038610546570897256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5" t="s">
        <v>189</v>
      </c>
      <c r="B23" s="536" t="s">
        <v>28</v>
      </c>
      <c r="C23" s="536">
        <v>1</v>
      </c>
      <c r="D23" s="536" t="s">
        <v>28</v>
      </c>
      <c r="E23" s="536">
        <f>Sheet2!B57</f>
        <v>9000</v>
      </c>
      <c r="F23" s="536">
        <f>E23*C23</f>
        <v>9000</v>
      </c>
      <c r="G23" s="527"/>
      <c r="H23" s="527"/>
      <c r="I23" s="527"/>
      <c r="J23" s="527"/>
      <c r="L23" s="211">
        <v>3</v>
      </c>
      <c r="M23" s="219">
        <v>2</v>
      </c>
      <c r="N23" s="220" t="s">
        <v>195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0.0022522818833023398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195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0.0022522818833023398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54</v>
      </c>
      <c r="B24" s="199">
        <f>(Table80102114[[#Totals],[price]]*1.1)/(F1*D1/10000)</f>
        <v>9438.0660000000025</v>
      </c>
      <c r="C24" s="194"/>
      <c r="D24" s="194"/>
      <c r="E24" s="194"/>
      <c r="F24" s="194">
        <f>SUBTOTAL(109,Table80102114[price])</f>
        <v>171601.2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0.00096526366427243139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0.00096526366427243139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0.0070786002046644972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0.0070786002046644972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869" t="s">
        <v>99</v>
      </c>
      <c r="P26" s="869"/>
      <c r="Q26" s="869"/>
      <c r="R26" s="869"/>
      <c r="S26" s="869"/>
      <c r="T26" s="869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869" t="s">
        <v>99</v>
      </c>
      <c r="BK26" s="869"/>
      <c r="BL26" s="869"/>
      <c r="BM26" s="869"/>
      <c r="BN26" s="869"/>
      <c r="BO26" s="869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0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6">M28*U28</f>
        <v>0</v>
      </c>
      <c r="W28" s="241">
        <f ref="W28:W42" t="shared" si="7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2.58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8">BH28*BP28</f>
        <v>1032</v>
      </c>
      <c r="BR28" s="241">
        <f ref="BR28:BR41" t="shared" si="9" ca="1">(BQ28)/$R$68</f>
        <v>0.0036894522278857378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0.00026812879563123095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0.00019305273285448628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0.00026812879563123095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0.00019305273285448628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0.00014300202433665651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8.937626521041032E-05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0.0005362575912624619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0.0005362575912624619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0.000286004048673313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0.000286004048673313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0</v>
      </c>
      <c r="W34" s="251">
        <f t="shared" si="7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13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2860</v>
      </c>
      <c r="BR34" s="251">
        <f t="shared" si="9" ca="1"/>
        <v>0.01022464474007094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380</v>
      </c>
      <c r="W35" s="251">
        <f t="shared" si="7" ca="1"/>
        <v>0.0013585192311982369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8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760</v>
      </c>
      <c r="BR35" s="251">
        <f t="shared" si="9" ca="1"/>
        <v>0.0027170384623964737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0</v>
      </c>
      <c r="W36" s="251">
        <f t="shared" si="7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8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4080</v>
      </c>
      <c r="BR36" s="251">
        <f t="shared" si="9" ca="1"/>
        <v>0.014586206482338963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401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12030</v>
      </c>
      <c r="W38" s="251">
        <f t="shared" si="7" ca="1"/>
        <v>0.043007858819249442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8"/>
        <v>0</v>
      </c>
      <c r="BR38" s="251">
        <f t="shared" si="9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0"/>
        <v>7200</v>
      </c>
      <c r="W39" s="251">
        <f t="shared" si="7" ca="1"/>
        <v>0.025740364380598173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8"/>
        <v>0</v>
      </c>
      <c r="BR39" s="251">
        <f t="shared" si="9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0"/>
        <v>8700</v>
      </c>
      <c r="W40" s="251">
        <f t="shared" si="7" ca="1"/>
        <v>0.031102940293222789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8"/>
        <v>0</v>
      </c>
      <c r="BR40" s="251">
        <f t="shared" si="9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0"/>
        <v>950</v>
      </c>
      <c r="W41" s="251">
        <f t="shared" si="7" ca="1"/>
        <v>0.003396298077995592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8"/>
        <v>0</v>
      </c>
      <c r="BR41" s="251">
        <f t="shared" si="9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0"/>
        <v>950</v>
      </c>
      <c r="W42" s="251">
        <f t="shared" si="7" ca="1"/>
        <v>0.003396298077995592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9095</v>
      </c>
      <c r="BR42" s="244">
        <f>Table13597166[[#Totals],[اجمالي]]/$R$68</f>
        <v>0.032515085283547275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30630</v>
      </c>
      <c r="W43" s="244">
        <f>Table135971[[#Totals],[اجمالي]]/$R$68</f>
        <v>0.10950380013579472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869" t="s">
        <v>162</v>
      </c>
      <c r="BK44" s="869"/>
      <c r="BL44" s="869"/>
      <c r="BM44" s="869"/>
      <c r="BN44" s="869"/>
      <c r="BO44" s="869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869" t="s">
        <v>162</v>
      </c>
      <c r="P45" s="869"/>
      <c r="Q45" s="869"/>
      <c r="R45" s="869"/>
      <c r="S45" s="869"/>
      <c r="T45" s="869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294</v>
      </c>
      <c r="BJ46" s="214"/>
      <c r="BK46" s="211"/>
      <c r="BL46" s="216"/>
      <c r="BM46" s="214"/>
      <c r="BN46" s="211"/>
      <c r="BO46" s="247"/>
      <c r="BP46" s="248">
        <f>Table8091[[#Totals],[price]]</f>
        <v>104234.7</v>
      </c>
      <c r="BQ46" s="252">
        <f>BH46*Table1613687787[[#This Row],[سعر الشبك ]]</f>
        <v>104234.7</v>
      </c>
      <c r="BR46" s="241">
        <f>(BQ46)/$R$68</f>
        <v>0.37264432765310224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294</v>
      </c>
      <c r="O47" s="214"/>
      <c r="P47" s="211"/>
      <c r="Q47" s="216"/>
      <c r="R47" s="214"/>
      <c r="S47" s="211"/>
      <c r="T47" s="247"/>
      <c r="U47" s="248">
        <f>Table80102114[[#Totals],[price]]</f>
        <v>171601.2</v>
      </c>
      <c r="V47" s="252">
        <f>M47*Table16136877[[#This Row],[سعر الشبك ]]</f>
        <v>171601.2</v>
      </c>
      <c r="W47" s="241">
        <f>(V47)/$R$68</f>
        <v>0.61348297446498656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131</v>
      </c>
      <c r="BJ47" s="214"/>
      <c r="BK47" s="211"/>
      <c r="BL47" s="216"/>
      <c r="BM47" s="214"/>
      <c r="BN47" s="211"/>
      <c r="BO47" s="247"/>
      <c r="BP47" s="248">
        <f>BQ46</f>
        <v>104234.7</v>
      </c>
      <c r="BQ47" s="240">
        <f>BH47*Table1613687787[[#This Row],[سعر الشبك ]]</f>
        <v>10423.470000000001</v>
      </c>
      <c r="BR47" s="241">
        <f>(BQ47)/$R$68</f>
        <v>0.037264432765310232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0.1</v>
      </c>
      <c r="N48" s="213" t="s">
        <v>131</v>
      </c>
      <c r="O48" s="214"/>
      <c r="P48" s="211"/>
      <c r="Q48" s="216"/>
      <c r="R48" s="214"/>
      <c r="S48" s="211"/>
      <c r="T48" s="247"/>
      <c r="U48" s="248">
        <f>Table80102114[[#Totals],[price]]</f>
        <v>171601.2</v>
      </c>
      <c r="V48" s="240">
        <f>M48*Table16136877[[#This Row],[سعر الشبك ]]</f>
        <v>17160.120000000003</v>
      </c>
      <c r="W48" s="241">
        <f>(V48)/$R$68</f>
        <v>0.061348297446498661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114658.17</v>
      </c>
      <c r="BR48" s="244">
        <f>Table1613687787[[#Totals],[اجمالي]]/$R$68</f>
        <v>0.40990876041841245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188761.32</v>
      </c>
      <c r="W49" s="244">
        <f>Table16136877[[#Totals],[اجمالي]]/$R$68</f>
        <v>0.67483127191148518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869" t="s">
        <v>132</v>
      </c>
      <c r="BK49" s="869"/>
      <c r="BL49" s="869"/>
      <c r="BM49" s="869"/>
      <c r="BN49" s="869"/>
      <c r="BO49" s="869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869" t="s">
        <v>132</v>
      </c>
      <c r="P50" s="869"/>
      <c r="Q50" s="869"/>
      <c r="R50" s="869"/>
      <c r="S50" s="869"/>
      <c r="T50" s="869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133</v>
      </c>
      <c r="BK50" s="211" t="s">
        <v>12</v>
      </c>
      <c r="BL50" s="211" t="s">
        <v>134</v>
      </c>
      <c r="BM50" s="211" t="s">
        <v>135</v>
      </c>
      <c r="BN50" s="211" t="s">
        <v>61</v>
      </c>
      <c r="BO50" s="211" t="s">
        <v>136</v>
      </c>
      <c r="BP50" s="211" t="s">
        <v>137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27</v>
      </c>
      <c r="M51" s="211" t="s">
        <v>28</v>
      </c>
      <c r="N51" s="218" t="s">
        <v>29</v>
      </c>
      <c r="O51" s="211" t="s">
        <v>133</v>
      </c>
      <c r="P51" s="211" t="s">
        <v>12</v>
      </c>
      <c r="Q51" s="211" t="s">
        <v>134</v>
      </c>
      <c r="R51" s="211" t="s">
        <v>135</v>
      </c>
      <c r="S51" s="211" t="s">
        <v>61</v>
      </c>
      <c r="T51" s="211" t="s">
        <v>136</v>
      </c>
      <c r="U51" s="211" t="s">
        <v>137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138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139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0.002002028340713191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138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139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0.002002028340713191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140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139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0.002002028340713191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140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139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0.002002028340713191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141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139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141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139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142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139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0.0060060850221395736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142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139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0.0060060850221395736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143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0.01430020243366565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143</v>
      </c>
      <c r="O56" s="211">
        <f>IF((Table16126776[[#This Row],[موقع العمل]]="المصنع"),280,IF((Table16126776[[#This Row],[موقع العمل]]="الاسكندرية"),320,400))</f>
        <v>400</v>
      </c>
      <c r="P56" s="211">
        <f>SUMIF(Table176978[Column1],Table16126776[[#This Row],[موقع العمل]],$AB$2:$AB$20)</f>
        <v>100</v>
      </c>
      <c r="Q56" s="211" t="str">
        <f>تسعير!$AT$24</f>
        <v>الشيخ زايد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6" s="240">
        <f t="shared" si="15" ca="1"/>
        <v>4000</v>
      </c>
      <c r="W56" s="241">
        <f t="shared" si="16" ca="1"/>
        <v>0.01430020243366565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144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0.010725151825249238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144</v>
      </c>
      <c r="O57" s="211">
        <f>IF((Table16126776[[#This Row],[موقع العمل]]="المصنع"),280,IF((Table16126776[[#This Row],[موقع العمل]]="الاسكندرية"),320,400))</f>
        <v>400</v>
      </c>
      <c r="P57" s="211">
        <f>SUMIF(Table176978[Column1],Table16126776[[#This Row],[موقع العمل]],$AB$2:$AB$20)</f>
        <v>100</v>
      </c>
      <c r="Q57" s="211" t="str">
        <f>تسعير!$AT$24</f>
        <v>الشيخ زايد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7" s="240">
        <f t="shared" si="15" ca="1"/>
        <v>3000</v>
      </c>
      <c r="W57" s="241">
        <f t="shared" si="16" ca="1"/>
        <v>0.010725151825249238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145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145</v>
      </c>
      <c r="O58" s="211">
        <f>IF((Table16126776[[#This Row],[موقع العمل]]="المصنع"),280,IF((Table16126776[[#This Row],[موقع العمل]]="الاسكندرية"),320,400))</f>
        <v>400</v>
      </c>
      <c r="P58" s="211">
        <f>SUMIF(Table176978[Column1],Table16126776[[#This Row],[موقع العمل]],$AB$2:$AB$20)</f>
        <v>100</v>
      </c>
      <c r="Q58" s="211" t="str">
        <f>تسعير!$AT$24</f>
        <v>الشيخ زايد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146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0.01430020243366565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146</v>
      </c>
      <c r="O59" s="211">
        <f>IF((Table16126776[[#This Row],[موقع العمل]]="المصنع"),280,IF((Table16126776[[#This Row],[موقع العمل]]="الاسكندرية"),320,400))</f>
        <v>400</v>
      </c>
      <c r="P59" s="211">
        <f>SUMIF(Table176978[Column1],Table16126776[[#This Row],[موقع العمل]],$AB$2:$AB$20)</f>
        <v>100</v>
      </c>
      <c r="Q59" s="211" t="str">
        <f>تسعير!$AT$24</f>
        <v>الشيخ زايد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9" s="240">
        <f t="shared" si="15" ca="1"/>
        <v>4000</v>
      </c>
      <c r="W59" s="241">
        <f t="shared" si="16" ca="1"/>
        <v>0.01430020243366565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147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0.025168356283251547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147</v>
      </c>
      <c r="O60" s="211"/>
      <c r="P60" s="211"/>
      <c r="Q60" s="211" t="str">
        <f>تسعير!$AT$24</f>
        <v>الشيخ زايد</v>
      </c>
      <c r="R60" s="214"/>
      <c r="S60" s="247">
        <f>SUMIF(Table176978[Column1],Table16126776[[#This Row],[موقع العمل]],$Z$2:$Z$20)</f>
        <v>400</v>
      </c>
      <c r="T60" s="247"/>
      <c r="U60" s="243">
        <f>Table16126776[[#This Row],[Column12]]</f>
        <v>400</v>
      </c>
      <c r="V60" s="240">
        <f t="shared" si="15" ca="1"/>
        <v>8800</v>
      </c>
      <c r="W60" s="241">
        <f t="shared" si="16" ca="1"/>
        <v>0.031460445354064434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148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0.012870182190299086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148</v>
      </c>
      <c r="O61" s="211"/>
      <c r="P61" s="211"/>
      <c r="Q61" s="211" t="str">
        <f>تسعير!$AT$24</f>
        <v>الشيخ زايد</v>
      </c>
      <c r="R61" s="214"/>
      <c r="S61" s="247">
        <f>SUMIF(Table176978[Column1],Table16126776[[#This Row],[موقع العمل]],$AA$2:$AA$20)</f>
        <v>400</v>
      </c>
      <c r="T61" s="247"/>
      <c r="U61" s="243">
        <f>Table16126776[[#This Row],[Column12]]</f>
        <v>400</v>
      </c>
      <c r="V61" s="240">
        <f t="shared" si="15" ca="1"/>
        <v>3600</v>
      </c>
      <c r="W61" s="241">
        <f t="shared" si="16" ca="1"/>
        <v>0.012870182190299086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149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149</v>
      </c>
      <c r="O62" s="211"/>
      <c r="P62" s="211"/>
      <c r="Q62" s="211" t="str">
        <f>تسعير!$AT$24</f>
        <v>الشيخ زايد</v>
      </c>
      <c r="R62" s="214"/>
      <c r="S62" s="247">
        <f>SUMIF(Table176978[Column1],Table16126776[[#This Row],[موقع العمل]],$AC$2:$AC$20)</f>
        <v>3500</v>
      </c>
      <c r="T62" s="247"/>
      <c r="U62" s="243">
        <f>Table16126776[[#This Row],[Column12]]</f>
        <v>3500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150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0.04290060730099695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150</v>
      </c>
      <c r="O63" s="211"/>
      <c r="P63" s="211"/>
      <c r="Q63" s="211" t="str">
        <f>تسعير!$AT$24</f>
        <v>الشيخ زايد</v>
      </c>
      <c r="R63" s="214"/>
      <c r="S63" s="247">
        <f>SUMIF(Table176978[Column1],Table16126776[[#This Row],[موقع العمل]],$AD$2:$AD$20)</f>
        <v>6000</v>
      </c>
      <c r="T63" s="247"/>
      <c r="U63" s="243">
        <f>Table16126776[[#This Row],[Column12]]</f>
        <v>6000</v>
      </c>
      <c r="V63" s="240">
        <f t="shared" si="15" ca="1"/>
        <v>12000</v>
      </c>
      <c r="W63" s="241">
        <f t="shared" si="16" ca="1"/>
        <v>0.04290060730099695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0.0037538031388372334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الشيخ زايد</v>
      </c>
      <c r="R64" s="214"/>
      <c r="S64" s="247">
        <f>SUMIF(Table176978[Column1],Table16126776[[#This Row],[موقع العمل]],$AE$2:$AE$8)</f>
        <v>150</v>
      </c>
      <c r="T64" s="247"/>
      <c r="U64" s="243">
        <f>Table16126776[[#This Row],[Column12]]</f>
        <v>150</v>
      </c>
      <c r="V64" s="240">
        <f t="shared" si="15" ca="1"/>
        <v>1050</v>
      </c>
      <c r="W64" s="241">
        <f t="shared" si="16" ca="1"/>
        <v>0.0037538031388372334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0" t="s">
        <v>54</v>
      </c>
      <c r="BH64" s="569"/>
      <c r="BI64" s="548" t="s">
        <v>54</v>
      </c>
      <c r="BJ64" s="570"/>
      <c r="BK64" s="570"/>
      <c r="BL64" s="571"/>
      <c r="BM64" s="571"/>
      <c r="BN64" s="572">
        <f>SUBTOTAL(109,Table1612677686[Column12])</f>
        <v>10370</v>
      </c>
      <c r="BO64" s="570"/>
      <c r="BP64" s="242"/>
      <c r="BQ64" s="573">
        <f>SUBTOTAL(109,Table1612677686[اجمالي])</f>
        <v>37490</v>
      </c>
      <c r="BR64" s="574">
        <f>Table1612677686[[#Totals],[اجمالي]]/$R$68</f>
        <v>0.13402864730953132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0" t="s">
        <v>54</v>
      </c>
      <c r="M65" s="569"/>
      <c r="N65" s="548" t="s">
        <v>54</v>
      </c>
      <c r="O65" s="570"/>
      <c r="P65" s="570"/>
      <c r="Q65" s="571"/>
      <c r="R65" s="571"/>
      <c r="S65" s="572">
        <f>SUBTOTAL(109,Table16126776[Column12])</f>
        <v>10450</v>
      </c>
      <c r="T65" s="570"/>
      <c r="U65" s="242"/>
      <c r="V65" s="573">
        <f>SUBTOTAL(109,Table16126776[اجمالي])</f>
        <v>39250</v>
      </c>
      <c r="W65" s="574">
        <f>Table16126776[[#Totals],[اجمالي]]/$R$68</f>
        <v>0.1403207363803442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880"/>
      <c r="BK65" s="880"/>
      <c r="BL65" s="880"/>
      <c r="BM65" s="880"/>
      <c r="BN65" s="880"/>
      <c r="BO65" s="88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880"/>
      <c r="P66" s="880"/>
      <c r="Q66" s="880"/>
      <c r="R66" s="880"/>
      <c r="S66" s="880"/>
      <c r="T66" s="88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151</v>
      </c>
      <c r="BK66" s="211" t="s">
        <v>152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9</v>
      </c>
      <c r="O67" s="211" t="s">
        <v>151</v>
      </c>
      <c r="P67" s="211" t="s">
        <v>152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153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182318.16999999998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153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279716.32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154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237013.62099999999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154</v>
      </c>
      <c r="O69" s="275"/>
      <c r="P69" s="272"/>
      <c r="Q69" s="284">
        <f>IF((Q64="المقطم"),0.2,IF((Q64="التجمع"),0.2,IF((Q64="الشيخ زايد"),0.2,IF((Q64="الاسكندرية"),0.3,0.25))))</f>
        <v>0.2</v>
      </c>
      <c r="R69" s="285">
        <f>R68*(1+Table187079[[#This Row],[Column3]])</f>
        <v>335659.584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875" t="s">
        <v>0</v>
      </c>
      <c r="BH71" s="875"/>
      <c r="BI71" s="875"/>
      <c r="BJ71" s="301" t="s">
        <v>1</v>
      </c>
      <c r="BK71" s="301" t="s">
        <v>2</v>
      </c>
      <c r="BL71" s="302" t="s">
        <v>3</v>
      </c>
      <c r="BM71" s="306" t="s">
        <v>4</v>
      </c>
      <c r="BN71" s="306" t="s">
        <v>5</v>
      </c>
      <c r="BO71" s="306" t="s">
        <v>6</v>
      </c>
      <c r="BP71" s="306" t="s">
        <v>7</v>
      </c>
      <c r="BQ71" s="306" t="s">
        <v>8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875" t="s">
        <v>0</v>
      </c>
      <c r="M72" s="875"/>
      <c r="N72" s="875"/>
      <c r="O72" s="276" t="s">
        <v>1</v>
      </c>
      <c r="P72" s="276" t="s">
        <v>2</v>
      </c>
      <c r="Q72" s="28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334</v>
      </c>
      <c r="AW72" s="269">
        <f>(BA72*AY72)/10000</f>
        <v>20</v>
      </c>
      <c r="AX72" s="270" t="s">
        <v>164</v>
      </c>
      <c r="AY72" s="271">
        <f>تسعير!BE54</f>
        <v>400</v>
      </c>
      <c r="AZ72" s="270" t="s">
        <v>125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882"/>
      <c r="BH72" s="882"/>
      <c r="BI72" s="882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882"/>
      <c r="M73" s="882"/>
      <c r="N73" s="882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252000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297</v>
      </c>
      <c r="AY73" s="194" t="s">
        <v>30</v>
      </c>
      <c r="AZ73" s="194" t="s">
        <v>298</v>
      </c>
      <c r="BA73" s="194" t="s">
        <v>299</v>
      </c>
      <c r="BB73" s="167"/>
      <c r="BC73" s="198" t="s">
        <v>300</v>
      </c>
      <c r="BD73" s="198"/>
      <c r="BE73" s="198" t="s">
        <v>301</v>
      </c>
      <c r="BF73" s="167"/>
      <c r="BG73" s="884" t="s">
        <v>17</v>
      </c>
      <c r="BH73" s="884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18</v>
      </c>
      <c r="BM73" s="873">
        <f>NOW()</f>
        <v>46139.61435265046</v>
      </c>
      <c r="BN73" s="873"/>
      <c r="BO73" s="873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0" t="s">
        <v>294</v>
      </c>
      <c r="B74" s="531">
        <f>(F74*D74)/10000</f>
        <v>20</v>
      </c>
      <c r="C74" s="532" t="s">
        <v>164</v>
      </c>
      <c r="D74" s="533">
        <f>تسعير!BE34</f>
        <v>500</v>
      </c>
      <c r="E74" s="532" t="s">
        <v>125</v>
      </c>
      <c r="F74" s="533">
        <f>تسعير!BE33</f>
        <v>400</v>
      </c>
      <c r="G74" s="532" t="s">
        <v>295</v>
      </c>
      <c r="H74" s="533" t="str">
        <f>تسعير!BE26</f>
        <v>سادة</v>
      </c>
      <c r="I74" s="547" t="str">
        <f>تسعير!BE32</f>
        <v>قواعد عادية</v>
      </c>
      <c r="J74" s="534"/>
      <c r="K74" s="167"/>
      <c r="L74" s="883" t="s">
        <v>17</v>
      </c>
      <c r="M74" s="883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B32</v>
      </c>
      <c r="O74" s="207"/>
      <c r="P74" s="207"/>
      <c r="Q74" s="294" t="s">
        <v>18</v>
      </c>
      <c r="R74" s="873">
        <f>NOW()</f>
        <v>46139.61435265046</v>
      </c>
      <c r="S74" s="873"/>
      <c r="T74" s="873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302</v>
      </c>
      <c r="AW74" s="196">
        <f>ROUNDUP((12+((ROUNDUP((AY72-210),18))/18)),0)</f>
        <v>23</v>
      </c>
      <c r="AX74" s="197">
        <f>BA72-16.5</f>
        <v>483.5</v>
      </c>
      <c r="AY74" s="194" t="s">
        <v>303</v>
      </c>
      <c r="AZ74" s="194">
        <v>2</v>
      </c>
      <c r="BA74" s="194">
        <f>IF((تسعير!$BE$46="سادة"),(BE74*BC74*AZ74*(Sheet2!$B$14+(Sheet2!B41*1000))/1000),(BE74*BC74*AZ74*(Sheet2!$B$14+Sheet2!$B$15)/1000))</f>
        <v>74060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869" t="s">
        <v>20</v>
      </c>
      <c r="BK74" s="869"/>
      <c r="BL74" s="869"/>
      <c r="BM74" s="869"/>
      <c r="BN74" s="869"/>
      <c r="BO74" s="869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5" t="s">
        <v>9</v>
      </c>
      <c r="B75" s="536" t="s">
        <v>28</v>
      </c>
      <c r="C75" s="536" t="s">
        <v>297</v>
      </c>
      <c r="D75" s="536" t="s">
        <v>30</v>
      </c>
      <c r="E75" s="536" t="s">
        <v>298</v>
      </c>
      <c r="F75" s="536" t="s">
        <v>299</v>
      </c>
      <c r="G75" s="527"/>
      <c r="H75" s="537" t="s">
        <v>300</v>
      </c>
      <c r="I75" s="537"/>
      <c r="J75" s="537" t="s">
        <v>301</v>
      </c>
      <c r="L75" s="208"/>
      <c r="M75" s="208"/>
      <c r="N75" s="209"/>
      <c r="O75" s="869" t="s">
        <v>20</v>
      </c>
      <c r="P75" s="869"/>
      <c r="Q75" s="869"/>
      <c r="R75" s="869"/>
      <c r="S75" s="869"/>
      <c r="T75" s="869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304</v>
      </c>
      <c r="AW75" s="194">
        <v>2</v>
      </c>
      <c r="AX75" s="196">
        <f>BA72</f>
        <v>500</v>
      </c>
      <c r="AY75" s="194" t="s">
        <v>303</v>
      </c>
      <c r="AZ75" s="194">
        <v>1.7</v>
      </c>
      <c r="BA75" s="194">
        <f>IF((تسعير!$BE$46="سادة"),(BE75*BC75*AZ75*(Sheet2!$B$14+(Sheet2!B41*1000))/1000),(BE75*BC75*AZ75*(Sheet2!$B$14+Sheet2!$B$15)/1000))</f>
        <v>5474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307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5" t="s">
        <v>302</v>
      </c>
      <c r="B76" s="538">
        <f>ROUNDUP((12+((ROUNDUP((D74-210),15))/15)),0)</f>
        <v>32</v>
      </c>
      <c r="C76" s="539">
        <f>F74-16.5</f>
        <v>383.5</v>
      </c>
      <c r="D76" s="536" t="s">
        <v>303</v>
      </c>
      <c r="E76" s="536">
        <v>2.3</v>
      </c>
      <c r="F76" s="536">
        <f>IF(($H$74="سادة"),(J76*H76*E76*($U$73+(Sheet2!B41*1000))/1000),(J76*H76*E76*($U$73+(Sheet2!B15))/1000))</f>
        <v>83020.8</v>
      </c>
      <c r="G76" s="527"/>
      <c r="H76" s="537">
        <f>CEILING(Table80102114115[[#This Row],[طول]]/100,0.5)</f>
        <v>4</v>
      </c>
      <c r="I76" s="279">
        <f ref="I76:I81" t="shared" si="18">(H76*100)/C76</f>
        <v>1.0430247718383312</v>
      </c>
      <c r="J76" s="540">
        <f ref="J76:J81" t="shared" si="19">B76/(ROUNDDOWN(I76,0))</f>
        <v>32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307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171</v>
      </c>
      <c r="AT76" s="255"/>
      <c r="AU76" s="216"/>
      <c r="AV76" s="193" t="s">
        <v>306</v>
      </c>
      <c r="AW76" s="194">
        <v>2</v>
      </c>
      <c r="AX76" s="196">
        <f>AY72</f>
        <v>400</v>
      </c>
      <c r="AY76" s="194" t="s">
        <v>303</v>
      </c>
      <c r="AZ76" s="194">
        <v>1.7</v>
      </c>
      <c r="BA76" s="194">
        <f>IF((تسعير!$BE$46="سادة"),(BE76*BC76*AZ76*(Sheet2!$B$14+(Sheet2!B41*1000))/1000),(BE76*BC76*AZ76*(Sheet2!$B$14+Sheet2!$B$15)/1000))</f>
        <v>4379.2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311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0.027027382599628079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5" t="s">
        <v>304</v>
      </c>
      <c r="B77" s="536">
        <v>2</v>
      </c>
      <c r="C77" s="538">
        <f>F74</f>
        <v>400</v>
      </c>
      <c r="D77" s="536" t="s">
        <v>303</v>
      </c>
      <c r="E77" s="536">
        <v>3.8</v>
      </c>
      <c r="F77" s="536">
        <f>IF(($H$74="سادة"),(J77*H77*E77*($U$73+(Sheet2!B41*1000))/1000),(J77*H77*E77*($U$73+(Sheet2!B15))/1000))</f>
        <v>8572.8</v>
      </c>
      <c r="G77" s="541"/>
      <c r="H77" s="537">
        <f>CEILING(Table80102114115[[#This Row],[طول]]/100,0.5)</f>
        <v>4</v>
      </c>
      <c r="I77" s="279">
        <f t="shared" si="18"/>
        <v>1</v>
      </c>
      <c r="J77" s="540">
        <f t="shared" si="19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311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0.054054765199256158</v>
      </c>
      <c r="X77" s="207"/>
      <c r="Y77" s="216" t="s">
        <v>21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310</v>
      </c>
      <c r="AW77" s="194">
        <v>1</v>
      </c>
      <c r="AX77" s="194">
        <f>(15.6*(AW74-1)+4)</f>
        <v>347.2</v>
      </c>
      <c r="AY77" s="194" t="s">
        <v>303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313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0.02380983705205331</v>
      </c>
      <c r="BS77" s="207"/>
      <c r="BT77" s="216" t="s">
        <v>19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5" t="s">
        <v>306</v>
      </c>
      <c r="B78" s="536">
        <v>2</v>
      </c>
      <c r="C78" s="538">
        <f>D74</f>
        <v>500</v>
      </c>
      <c r="D78" s="536" t="s">
        <v>303</v>
      </c>
      <c r="E78" s="536">
        <v>3.8</v>
      </c>
      <c r="F78" s="536">
        <f>IF(($H$74="سادة"),(J78*H78*E78*($U$73+(Sheet2!B41*1000))/1000),(J78*H78*E78*($U$73+(Sheet2!B15))/1000))</f>
        <v>10716</v>
      </c>
      <c r="G78" s="541"/>
      <c r="H78" s="537">
        <f>CEILING(Table80102114115[[#This Row],[طول]]/100,0.5)</f>
        <v>5</v>
      </c>
      <c r="I78" s="279">
        <f t="shared" si="18"/>
        <v>1</v>
      </c>
      <c r="J78" s="540">
        <f t="shared" si="19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313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0.02380983705205331</v>
      </c>
      <c r="X78" s="207"/>
      <c r="Y78" s="216" t="s">
        <v>38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175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314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335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0.028314400818657989</v>
      </c>
      <c r="BS78" s="207"/>
      <c r="BT78" s="216" t="s">
        <v>21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171</v>
      </c>
      <c r="CO78" s="255"/>
    </row>
    <row r="79" ht="18">
      <c r="A79" s="535" t="s">
        <v>308</v>
      </c>
      <c r="B79" s="536">
        <v>2</v>
      </c>
      <c r="C79" s="538">
        <f>F74</f>
        <v>400</v>
      </c>
      <c r="D79" s="536" t="s">
        <v>303</v>
      </c>
      <c r="E79" s="536">
        <v>1.7</v>
      </c>
      <c r="F79" s="536">
        <f>IF(($H$74="سادة"),(J79*H79*E79*($U$73+(Sheet2!B41*1000))/1000),(J79*H79*E79*($U$73+(Sheet2!B15))/1000))</f>
        <v>3835.2</v>
      </c>
      <c r="G79" s="541"/>
      <c r="H79" s="537">
        <f>CEILING(Table80102114115[[#This Row],[طول]]/100,0.5)</f>
        <v>4</v>
      </c>
      <c r="I79" s="279">
        <f t="shared" si="18"/>
        <v>1</v>
      </c>
      <c r="J79" s="540">
        <f t="shared" si="19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335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0.028314400818657989</v>
      </c>
      <c r="X79" s="216"/>
      <c r="Y79" s="216" t="s">
        <v>44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177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317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311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79" s="207"/>
      <c r="CJ79" s="207" t="s">
        <v>173</v>
      </c>
      <c r="CK79" s="207">
        <v>0.03</v>
      </c>
      <c r="CL79" s="207">
        <v>0.03</v>
      </c>
      <c r="CM79" s="207"/>
      <c r="CN79" s="207"/>
      <c r="CO79" s="255"/>
    </row>
    <row r="80" ht="18">
      <c r="A80" s="535" t="s">
        <v>312</v>
      </c>
      <c r="B80" s="536">
        <v>2</v>
      </c>
      <c r="C80" s="538">
        <f>D74</f>
        <v>500</v>
      </c>
      <c r="D80" s="536" t="s">
        <v>303</v>
      </c>
      <c r="E80" s="536">
        <v>1.7</v>
      </c>
      <c r="F80" s="536">
        <f>IF(($H$74="سادة"),(J80*H80*E80*($U$73+(Sheet2!B41*1000))/1000),(J80*H80*E80*($U$73+(Sheet2!B15))/1000))</f>
        <v>4794</v>
      </c>
      <c r="G80" s="541"/>
      <c r="H80" s="537">
        <f>CEILING(Table80102114115[[#This Row],[طول]]/100,0.5)</f>
        <v>5</v>
      </c>
      <c r="I80" s="279">
        <f t="shared" si="18"/>
        <v>1</v>
      </c>
      <c r="J80" s="540">
        <f t="shared" si="19"/>
        <v>2</v>
      </c>
      <c r="K80" s="187"/>
      <c r="L80" s="211">
        <v>4</v>
      </c>
      <c r="M80" s="212">
        <v>0</v>
      </c>
      <c r="N80" s="213" t="s">
        <v>311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IF((تسعير!BE25="ايبوكسي و دوكو"),IF(((Table15880101[[#Totals],[المسطح]]+Table16627394[[#Totals],[Column12]])&gt;0),(Table15880101[[#Totals],[المسطح]]+Table16627394[[#Totals],[Column12]]+1)*Table6637495[[#This Row],[المعدل]]),0)</f>
        <v>10.87</v>
      </c>
      <c r="AN80" s="216"/>
      <c r="AO80" s="216" t="s">
        <v>179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318</v>
      </c>
      <c r="AW80" s="194">
        <v>1</v>
      </c>
      <c r="AX80" s="196">
        <v>100</v>
      </c>
      <c r="AY80" s="194" t="s">
        <v>303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319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</v>
      </c>
      <c r="CI80" s="216"/>
      <c r="CJ80" s="216" t="s">
        <v>175</v>
      </c>
      <c r="CK80" s="216">
        <v>0.05</v>
      </c>
      <c r="CL80" s="216">
        <v>0.05</v>
      </c>
      <c r="CM80" s="216"/>
      <c r="CN80" s="216"/>
      <c r="CO80" s="256"/>
    </row>
    <row r="81" ht="18">
      <c r="A81" s="535" t="s">
        <v>315</v>
      </c>
      <c r="B81" s="536">
        <v>2</v>
      </c>
      <c r="C81" s="536">
        <f>C76</f>
        <v>383.5</v>
      </c>
      <c r="D81" s="536" t="s">
        <v>303</v>
      </c>
      <c r="E81" s="536">
        <v>0.65</v>
      </c>
      <c r="F81" s="536">
        <f>IF(($H$74="سادة"),(J81*H81*E81*($U$73+(Sheet2!B41*1000))/1000),(J81*H81*E81*($U$73+(Sheet2!B15))/1000))</f>
        <v>1466.4</v>
      </c>
      <c r="G81" s="541"/>
      <c r="H81" s="537">
        <f>CEILING(Table80102114115[[#This Row],[طول]]/100,0.5)</f>
        <v>4</v>
      </c>
      <c r="I81" s="279">
        <f t="shared" si="18"/>
        <v>1.0430247718383312</v>
      </c>
      <c r="J81" s="540">
        <f t="shared" si="19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319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181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323</v>
      </c>
      <c r="AW81" s="194"/>
      <c r="AX81" s="194">
        <v>100</v>
      </c>
      <c r="AY81" s="194" t="s">
        <v>324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0.079151620470339371</v>
      </c>
      <c r="BS81" s="216"/>
      <c r="BT81" s="216" t="s">
        <v>48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IF((تسعير!BE45="ايبوكسي و دوكو"),IF(((Table15880101112[[#Totals],[المسطح]]+Table16627394105[[#Totals],[Column12]])&gt;0),(Table15880101112[[#Totals],[المسطح]]+Table16627394105[[#Totals],[Column12]]+1)*Table6637495106[[#This Row],[المعدل]]),0)</f>
        <v>8.57</v>
      </c>
      <c r="CI81" s="216"/>
      <c r="CJ81" s="216" t="s">
        <v>177</v>
      </c>
      <c r="CK81" s="216">
        <v>0.07</v>
      </c>
      <c r="CL81" s="216">
        <v>0.07</v>
      </c>
      <c r="CM81" s="216"/>
      <c r="CN81" s="216"/>
      <c r="CO81" s="256"/>
    </row>
    <row r="82" ht="18">
      <c r="A82" s="535" t="s">
        <v>310</v>
      </c>
      <c r="B82" s="536">
        <v>2</v>
      </c>
      <c r="C82" s="536">
        <f>(15.6*(B76-1)+4)</f>
        <v>487.59999999999997</v>
      </c>
      <c r="D82" s="536" t="s">
        <v>303</v>
      </c>
      <c r="E82" s="536">
        <v>1000</v>
      </c>
      <c r="F82" s="536">
        <f>E82*B82</f>
        <v>2000</v>
      </c>
      <c r="G82" s="541"/>
      <c r="H82" s="542"/>
      <c r="I82" s="527"/>
      <c r="J82" s="527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29700</v>
      </c>
      <c r="W82" s="244">
        <f>Table15880101[[#Totals],[اجمالي]]/$R$68</f>
        <v>0.10617900306996746</v>
      </c>
      <c r="X82" s="216"/>
      <c r="Y82" s="216" t="s">
        <v>55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321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869" t="s">
        <v>72</v>
      </c>
      <c r="BK82" s="869"/>
      <c r="BL82" s="869"/>
      <c r="BM82" s="869"/>
      <c r="BN82" s="869"/>
      <c r="BO82" s="869"/>
      <c r="BP82" s="216"/>
      <c r="BQ82" s="216"/>
      <c r="BR82" s="216"/>
      <c r="BS82" s="216"/>
      <c r="BT82" s="216" t="s">
        <v>52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82" s="216"/>
      <c r="CJ82" s="216" t="s">
        <v>179</v>
      </c>
      <c r="CK82" s="216">
        <v>0.1</v>
      </c>
      <c r="CL82" s="216">
        <v>0.1</v>
      </c>
      <c r="CM82" s="216"/>
      <c r="CN82" s="216"/>
      <c r="CO82" s="256"/>
    </row>
    <row r="83" ht="18">
      <c r="A83" s="535" t="s">
        <v>314</v>
      </c>
      <c r="B83" s="536"/>
      <c r="C83" s="536">
        <f>B76*2</f>
        <v>64</v>
      </c>
      <c r="D83" s="536" t="s">
        <v>28</v>
      </c>
      <c r="E83" s="194">
        <v>20</v>
      </c>
      <c r="F83" s="536">
        <f>E83*C83</f>
        <v>1280</v>
      </c>
      <c r="G83" s="541"/>
      <c r="H83" s="542"/>
      <c r="I83" s="527"/>
      <c r="J83" s="527"/>
      <c r="K83" s="187"/>
      <c r="L83" s="216"/>
      <c r="M83" s="216"/>
      <c r="N83" s="217"/>
      <c r="O83" s="869" t="s">
        <v>72</v>
      </c>
      <c r="P83" s="869"/>
      <c r="Q83" s="869"/>
      <c r="R83" s="869"/>
      <c r="S83" s="869"/>
      <c r="T83" s="869"/>
      <c r="U83" s="216"/>
      <c r="V83" s="216"/>
      <c r="W83" s="216"/>
      <c r="X83" s="216"/>
      <c r="Y83" s="216" t="s">
        <v>59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322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181</v>
      </c>
      <c r="CK83" s="216">
        <v>0.15</v>
      </c>
      <c r="CL83" s="216">
        <v>0.15</v>
      </c>
      <c r="CM83" s="216"/>
      <c r="CN83" s="216"/>
      <c r="CO83" s="256"/>
    </row>
    <row r="84" ht="18">
      <c r="A84" s="535" t="s">
        <v>317</v>
      </c>
      <c r="B84" s="536"/>
      <c r="C84" s="536">
        <f>B76*2</f>
        <v>64</v>
      </c>
      <c r="D84" s="536" t="s">
        <v>28</v>
      </c>
      <c r="E84" s="194">
        <v>18</v>
      </c>
      <c r="F84" s="536">
        <f>E84*C84</f>
        <v>1152</v>
      </c>
      <c r="G84" s="541"/>
      <c r="H84" s="542"/>
      <c r="I84" s="527"/>
      <c r="J84" s="527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189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0">BH84*BP84</f>
        <v>1200</v>
      </c>
      <c r="BR84" s="241">
        <f>(BQ84)/$R$68</f>
        <v>0.0042900607300996952</v>
      </c>
      <c r="BS84" s="216"/>
      <c r="BT84" s="216" t="s">
        <v>59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183</v>
      </c>
      <c r="CK84" s="216">
        <v>0.05</v>
      </c>
      <c r="CL84" s="216">
        <v>0.1</v>
      </c>
      <c r="CM84" s="216"/>
      <c r="CN84" s="216"/>
      <c r="CO84" s="256"/>
    </row>
    <row r="85" ht="18">
      <c r="A85" s="535" t="s">
        <v>318</v>
      </c>
      <c r="B85" s="536">
        <v>1</v>
      </c>
      <c r="C85" s="538">
        <v>100</v>
      </c>
      <c r="D85" s="536" t="s">
        <v>303</v>
      </c>
      <c r="E85" s="194">
        <v>250</v>
      </c>
      <c r="F85" s="536">
        <f>Table80102114115[[#This Row],[wt/m]]*Table80102114115[[#This Row],[عدد]]</f>
        <v>250</v>
      </c>
      <c r="G85" s="541"/>
      <c r="H85" s="542"/>
      <c r="I85" s="527"/>
      <c r="J85" s="543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1">M85*U85</f>
        <v>800</v>
      </c>
      <c r="W85" s="241">
        <f>(V85)/$R$68</f>
        <v>0.0028600404867331303</v>
      </c>
      <c r="X85" s="216"/>
      <c r="Y85" s="216" t="s">
        <v>66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54</v>
      </c>
      <c r="AW85" s="299">
        <f>(Table80102113[[#Totals],[price]]*1.1)/(BA72*AY72/10000)</f>
        <v>5732.9085000000005</v>
      </c>
      <c r="AX85" s="300"/>
      <c r="AY85" s="300"/>
      <c r="AZ85" s="300"/>
      <c r="BA85" s="300">
        <f>SUBTOTAL(109,Table80102113[price])</f>
        <v>104234.7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0"/>
        <v>220</v>
      </c>
      <c r="BR85" s="241">
        <f>(BQ85)/$R$68</f>
        <v>0.00078651113385161083</v>
      </c>
      <c r="BS85" s="216"/>
      <c r="BT85" s="216" t="s">
        <v>62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185</v>
      </c>
      <c r="CK85" s="216">
        <v>0.05</v>
      </c>
      <c r="CL85" s="216">
        <v>0.15</v>
      </c>
      <c r="CM85" s="216"/>
      <c r="CN85" s="216"/>
      <c r="CO85" s="256"/>
    </row>
    <row r="86" ht="18">
      <c r="A86" s="535" t="s">
        <v>323</v>
      </c>
      <c r="B86" s="536"/>
      <c r="C86" s="536">
        <v>4</v>
      </c>
      <c r="D86" s="536" t="s">
        <v>324</v>
      </c>
      <c r="E86" s="194">
        <v>250</v>
      </c>
      <c r="F86" s="536">
        <f>C86*E86</f>
        <v>1000</v>
      </c>
      <c r="G86" s="541"/>
      <c r="H86" s="527"/>
      <c r="I86" s="541"/>
      <c r="J86" s="541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1"/>
        <v>220</v>
      </c>
      <c r="W86" s="241">
        <f>(V86)/$R$68</f>
        <v>0.00078651113385161083</v>
      </c>
      <c r="X86" s="216"/>
      <c r="Y86" s="216" t="s">
        <v>69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0"/>
        <v>130</v>
      </c>
      <c r="BR86" s="241">
        <f>(BQ86)/$R$68</f>
        <v>0.00046475657909413363</v>
      </c>
      <c r="BS86" s="216"/>
      <c r="BT86" s="216" t="s">
        <v>66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187</v>
      </c>
      <c r="CK86" s="216">
        <v>0.1</v>
      </c>
      <c r="CL86" s="216">
        <v>0.15</v>
      </c>
      <c r="CM86" s="216"/>
      <c r="CN86" s="216"/>
      <c r="CO86" s="256"/>
    </row>
    <row r="87" ht="18">
      <c r="A87" s="535" t="s">
        <v>325</v>
      </c>
      <c r="B87" s="536"/>
      <c r="C87" s="536">
        <v>8</v>
      </c>
      <c r="D87" s="536" t="s">
        <v>28</v>
      </c>
      <c r="E87" s="194">
        <v>300</v>
      </c>
      <c r="F87" s="536">
        <f>C87*E87</f>
        <v>2400</v>
      </c>
      <c r="G87" s="541"/>
      <c r="H87" s="527"/>
      <c r="I87" s="541"/>
      <c r="J87" s="541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1"/>
        <v>130</v>
      </c>
      <c r="W87" s="241">
        <f>(V87)/$R$68</f>
        <v>0.00046475657909413363</v>
      </c>
      <c r="X87" s="216"/>
      <c r="Y87" s="216" t="s">
        <v>71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0"/>
        <v>480</v>
      </c>
      <c r="BR87" s="241">
        <f>(BQ87)/$R$68</f>
        <v>0.001716024292039878</v>
      </c>
      <c r="BS87" s="216"/>
      <c r="BT87" s="216" t="s">
        <v>69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">
      <c r="A88" s="535" t="s">
        <v>321</v>
      </c>
      <c r="B88" s="536"/>
      <c r="C88" s="536">
        <f>B76*2</f>
        <v>64</v>
      </c>
      <c r="D88" s="536" t="s">
        <v>28</v>
      </c>
      <c r="E88" s="194">
        <v>120</v>
      </c>
      <c r="F88" s="536">
        <f>C88*E88</f>
        <v>7680</v>
      </c>
      <c r="G88" s="541"/>
      <c r="H88" s="527"/>
      <c r="I88" s="527"/>
      <c r="J88" s="527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1"/>
        <v>0</v>
      </c>
      <c r="W88" s="241">
        <f>(V88)/$R$68</f>
        <v>0</v>
      </c>
      <c r="X88" s="216"/>
      <c r="Y88" s="216" t="s">
        <v>73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0"/>
        <v>0</v>
      </c>
      <c r="BR88" s="241">
        <f>(BQ88)/$R$68</f>
        <v>0</v>
      </c>
      <c r="BS88" s="216"/>
      <c r="BT88" s="216" t="s">
        <v>71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5" t="s">
        <v>322</v>
      </c>
      <c r="B89" s="536"/>
      <c r="C89" s="536">
        <f>B76*2</f>
        <v>64</v>
      </c>
      <c r="D89" s="536" t="s">
        <v>28</v>
      </c>
      <c r="E89" s="194">
        <v>120</v>
      </c>
      <c r="F89" s="536">
        <f>C89*E89</f>
        <v>7680</v>
      </c>
      <c r="G89" s="541"/>
      <c r="H89" s="527"/>
      <c r="I89" s="527"/>
      <c r="J89" s="527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1"/>
        <v>4800</v>
      </c>
      <c r="W89" s="241">
        <f>(V89)/$R$68</f>
        <v>0.017160242920398781</v>
      </c>
      <c r="X89" s="216"/>
      <c r="Y89" s="216" t="s">
        <v>75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0.007257352735085318</v>
      </c>
      <c r="BS89" s="216"/>
      <c r="BT89" s="216" t="s">
        <v>73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5" t="s">
        <v>326</v>
      </c>
      <c r="B90" s="536">
        <v>2</v>
      </c>
      <c r="C90" s="536"/>
      <c r="D90" s="536" t="s">
        <v>303</v>
      </c>
      <c r="E90" s="194">
        <v>1000</v>
      </c>
      <c r="F90" s="536">
        <f>B90*E90</f>
        <v>2000</v>
      </c>
      <c r="G90" s="541"/>
      <c r="H90" s="527"/>
      <c r="I90" s="527"/>
      <c r="J90" s="527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0.021271551120077656</v>
      </c>
      <c r="X90" s="216"/>
      <c r="Y90" s="216" t="s">
        <v>78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869" t="s">
        <v>95</v>
      </c>
      <c r="BK90" s="869"/>
      <c r="BL90" s="869"/>
      <c r="BM90" s="869"/>
      <c r="BN90" s="869"/>
      <c r="BO90" s="869"/>
      <c r="BP90" s="216"/>
      <c r="BQ90" s="216"/>
      <c r="BR90" s="216"/>
      <c r="BS90" s="216"/>
      <c r="BT90" s="216" t="s">
        <v>75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5" t="s">
        <v>328</v>
      </c>
      <c r="B91" s="536"/>
      <c r="C91" s="536">
        <f>ROUNDUP(((C76*B76)/100),0)</f>
        <v>123</v>
      </c>
      <c r="D91" s="536" t="s">
        <v>303</v>
      </c>
      <c r="E91" s="194">
        <v>10</v>
      </c>
      <c r="F91" s="536">
        <f>C91*E91</f>
        <v>1230</v>
      </c>
      <c r="G91" s="541"/>
      <c r="H91" s="527"/>
      <c r="I91" s="527"/>
      <c r="J91" s="527"/>
      <c r="K91" s="187"/>
      <c r="L91" s="216"/>
      <c r="M91" s="216"/>
      <c r="N91" s="217"/>
      <c r="O91" s="869" t="s">
        <v>95</v>
      </c>
      <c r="P91" s="869"/>
      <c r="Q91" s="869"/>
      <c r="R91" s="869"/>
      <c r="S91" s="869"/>
      <c r="T91" s="869"/>
      <c r="U91" s="216"/>
      <c r="V91" s="216"/>
      <c r="W91" s="216"/>
      <c r="X91" s="216"/>
      <c r="Y91" s="216" t="s">
        <v>81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327</v>
      </c>
      <c r="B92" s="194"/>
      <c r="C92" s="194">
        <f>C91</f>
        <v>123</v>
      </c>
      <c r="D92" s="536" t="s">
        <v>303</v>
      </c>
      <c r="E92" s="194">
        <v>20</v>
      </c>
      <c r="F92" s="536">
        <f ref="F92:F93" t="shared" si="22">C92*E92</f>
        <v>2460</v>
      </c>
      <c r="G92" s="527"/>
      <c r="H92" s="527"/>
      <c r="I92" s="527"/>
      <c r="J92" s="527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0.0077221093141794511</v>
      </c>
      <c r="BS92" s="216"/>
      <c r="BT92" s="216" t="s">
        <v>81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5" t="s">
        <v>329</v>
      </c>
      <c r="B93" s="536" t="s">
        <v>330</v>
      </c>
      <c r="C93" s="536">
        <f>ROUNDUP((B76/3),0)</f>
        <v>11</v>
      </c>
      <c r="D93" s="536" t="s">
        <v>28</v>
      </c>
      <c r="E93" s="194">
        <v>275</v>
      </c>
      <c r="F93" s="536">
        <f t="shared" si="22"/>
        <v>3025</v>
      </c>
      <c r="G93" s="527"/>
      <c r="H93" s="527"/>
      <c r="I93" s="527"/>
      <c r="J93" s="527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195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5" t="s">
        <v>331</v>
      </c>
      <c r="B94" s="536" t="s">
        <v>332</v>
      </c>
      <c r="C94" s="536">
        <f>C93</f>
        <v>11</v>
      </c>
      <c r="D94" s="536" t="s">
        <v>28</v>
      </c>
      <c r="E94" s="194">
        <v>45</v>
      </c>
      <c r="F94" s="536">
        <f>E94*C94</f>
        <v>495</v>
      </c>
      <c r="G94" s="527"/>
      <c r="H94" s="527"/>
      <c r="I94" s="527"/>
      <c r="J94" s="527"/>
      <c r="L94" s="211">
        <v>2</v>
      </c>
      <c r="M94" s="219">
        <v>0</v>
      </c>
      <c r="N94" s="220" t="s">
        <v>195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0.0019305273285448628</v>
      </c>
      <c r="BS94" s="216"/>
      <c r="BT94" s="216" t="s">
        <v>85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5" t="s">
        <v>333</v>
      </c>
      <c r="B95" s="536" t="s">
        <v>28</v>
      </c>
      <c r="C95" s="536">
        <v>2</v>
      </c>
      <c r="D95" s="536" t="s">
        <v>28</v>
      </c>
      <c r="E95" s="194">
        <v>800</v>
      </c>
      <c r="F95" s="536">
        <f>E95*C95</f>
        <v>1600</v>
      </c>
      <c r="G95" s="527"/>
      <c r="H95" s="527"/>
      <c r="I95" s="527"/>
      <c r="J95" s="527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0.0096526366427243139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5" t="s">
        <v>189</v>
      </c>
      <c r="B96" s="536" t="s">
        <v>28</v>
      </c>
      <c r="C96" s="536">
        <v>1</v>
      </c>
      <c r="D96" s="536" t="s">
        <v>28</v>
      </c>
      <c r="E96" s="536">
        <f>Sheet2!B57</f>
        <v>9000</v>
      </c>
      <c r="F96" s="536">
        <f>E96*C96</f>
        <v>9000</v>
      </c>
      <c r="G96" s="527"/>
      <c r="H96" s="527"/>
      <c r="I96" s="527"/>
      <c r="J96" s="527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869" t="s">
        <v>99</v>
      </c>
      <c r="BK96" s="869"/>
      <c r="BL96" s="869"/>
      <c r="BM96" s="869"/>
      <c r="BN96" s="869"/>
      <c r="BO96" s="869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54</v>
      </c>
      <c r="B97" s="199">
        <f>(Table80102114115[[#Totals],[price]]*1.1)/(F74*D74/10000)</f>
        <v>8561.146</v>
      </c>
      <c r="C97" s="194"/>
      <c r="D97" s="194"/>
      <c r="E97" s="194"/>
      <c r="F97" s="194">
        <f>SUBTOTAL(109,Table80102114115[price])</f>
        <v>155657.2</v>
      </c>
      <c r="L97" s="216"/>
      <c r="M97" s="216"/>
      <c r="N97" s="217"/>
      <c r="O97" s="869" t="s">
        <v>99</v>
      </c>
      <c r="P97" s="869"/>
      <c r="Q97" s="869"/>
      <c r="R97" s="869"/>
      <c r="S97" s="869"/>
      <c r="T97" s="869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2.8566666666666669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3">BH98*BP98</f>
        <v>1142.6666666666667</v>
      </c>
      <c r="BR98" s="241">
        <f ref="BR98:BR112" t="shared" si="24" ca="1">(BQ98)/$R$68</f>
        <v>0.0040850911618838213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3.6233333333333331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5">M99*U99</f>
        <v>1449.3333333333333</v>
      </c>
      <c r="W99" s="241">
        <f ref="W99:W113" t="shared" si="26" ca="1">(V99)/$R$68</f>
        <v>0.0051814400151315209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7">BP29</f>
        <v>18</v>
      </c>
      <c r="BQ99" s="240">
        <f t="shared" si="23"/>
        <v>54</v>
      </c>
      <c r="BR99" s="241">
        <f t="shared" si="24" ca="1"/>
        <v>0.00019305273285448628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5"/>
        <v>75</v>
      </c>
      <c r="W100" s="241">
        <f t="shared" si="26" ca="1"/>
        <v>0.00026812879563123095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7"/>
        <v>18</v>
      </c>
      <c r="BQ100" s="240">
        <f t="shared" si="23"/>
        <v>54</v>
      </c>
      <c r="BR100" s="241">
        <f t="shared" si="24" ca="1"/>
        <v>0.00019305273285448628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5"/>
        <v>75</v>
      </c>
      <c r="W101" s="241">
        <f t="shared" si="26" ca="1"/>
        <v>0.00026812879563123095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7"/>
        <v>25</v>
      </c>
      <c r="BQ101" s="240">
        <f t="shared" si="23"/>
        <v>25</v>
      </c>
      <c r="BR101" s="241">
        <f t="shared" si="24" ca="1"/>
        <v>8.937626521041032E-05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5"/>
        <v>40</v>
      </c>
      <c r="W102" s="241">
        <f t="shared" si="26" ca="1"/>
        <v>0.00014300202433665651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7"/>
        <v>150</v>
      </c>
      <c r="BQ102" s="240">
        <f t="shared" si="23"/>
        <v>150</v>
      </c>
      <c r="BR102" s="241">
        <f t="shared" si="24" ca="1"/>
        <v>0.0005362575912624619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5"/>
        <v>150</v>
      </c>
      <c r="W103" s="241">
        <f t="shared" si="26" ca="1"/>
        <v>0.0005362575912624619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7"/>
        <v>40</v>
      </c>
      <c r="BQ103" s="240">
        <f t="shared" si="23"/>
        <v>80</v>
      </c>
      <c r="BR103" s="241">
        <f t="shared" si="24" ca="1"/>
        <v>0.000286004048673313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5"/>
        <v>80</v>
      </c>
      <c r="W104" s="241">
        <f t="shared" si="26" ca="1"/>
        <v>0.000286004048673313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7"/>
        <v>220</v>
      </c>
      <c r="BQ104" s="240">
        <f t="shared" si="23"/>
        <v>1100</v>
      </c>
      <c r="BR104" s="251">
        <f t="shared" si="24" ca="1"/>
        <v>0.0039325556692580543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8">M105*U105</f>
        <v>1100</v>
      </c>
      <c r="W105" s="251">
        <f t="shared" si="26" ca="1"/>
        <v>0.0039325556692580543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29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7"/>
        <v>95</v>
      </c>
      <c r="BQ105" s="240">
        <f t="shared" si="23"/>
        <v>570</v>
      </c>
      <c r="BR105" s="251">
        <f t="shared" si="24" ca="1"/>
        <v>0.0020377788467973554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8"/>
        <v>570</v>
      </c>
      <c r="W106" s="251">
        <f t="shared" si="26" ca="1"/>
        <v>0.0020377788467973554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29"/>
        <v>9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7"/>
        <v>510</v>
      </c>
      <c r="BQ106" s="240">
        <f t="shared" si="23"/>
        <v>4590</v>
      </c>
      <c r="BR106" s="251">
        <f t="shared" si="24" ca="1"/>
        <v>0.016409482292631335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11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8"/>
        <v>5610</v>
      </c>
      <c r="W107" s="251">
        <f t="shared" si="26" ca="1"/>
        <v>0.020056033913216077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7"/>
        <v>30</v>
      </c>
      <c r="BQ107" s="240">
        <f t="shared" si="23"/>
        <v>0</v>
      </c>
      <c r="BR107" s="251">
        <f t="shared" si="24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8"/>
        <v>0</v>
      </c>
      <c r="W108" s="251">
        <f t="shared" si="26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7"/>
        <v>360</v>
      </c>
      <c r="BQ108" s="240">
        <f t="shared" si="23"/>
        <v>0</v>
      </c>
      <c r="BR108" s="251">
        <f t="shared" si="24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8"/>
        <v>0</v>
      </c>
      <c r="W109" s="251">
        <f t="shared" si="26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1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09" s="558" t="s">
        <v>115</v>
      </c>
      <c r="BJ109" s="214"/>
      <c r="BK109" s="214"/>
      <c r="BL109" s="214"/>
      <c r="BM109" s="559" t="s">
        <v>116</v>
      </c>
      <c r="BN109" s="211"/>
      <c r="BO109" s="211"/>
      <c r="BP109" s="248">
        <f t="shared" si="27"/>
        <v>435</v>
      </c>
      <c r="BQ109" s="240">
        <f t="shared" si="23"/>
        <v>0</v>
      </c>
      <c r="BR109" s="251">
        <f t="shared" si="24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28"/>
        <v>0</v>
      </c>
      <c r="W110" s="251">
        <f t="shared" si="26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1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0" s="558" t="s">
        <v>67</v>
      </c>
      <c r="BJ110" s="214"/>
      <c r="BK110" s="214"/>
      <c r="BL110" s="214"/>
      <c r="BM110" s="559" t="s">
        <v>117</v>
      </c>
      <c r="BN110" s="211"/>
      <c r="BO110" s="211"/>
      <c r="BP110" s="248">
        <f t="shared" si="27"/>
        <v>190</v>
      </c>
      <c r="BQ110" s="240">
        <f t="shared" si="23"/>
        <v>0</v>
      </c>
      <c r="BR110" s="251">
        <f t="shared" si="24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28"/>
        <v>0</v>
      </c>
      <c r="W111" s="251">
        <f t="shared" si="26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1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1" s="558" t="s">
        <v>70</v>
      </c>
      <c r="BJ111" s="214"/>
      <c r="BK111" s="214"/>
      <c r="BL111" s="214"/>
      <c r="BM111" s="559" t="s">
        <v>117</v>
      </c>
      <c r="BN111" s="211"/>
      <c r="BO111" s="211"/>
      <c r="BP111" s="248">
        <f t="shared" si="27"/>
        <v>190</v>
      </c>
      <c r="BQ111" s="240">
        <f t="shared" si="23"/>
        <v>0</v>
      </c>
      <c r="BR111" s="251">
        <f t="shared" si="24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0</v>
      </c>
      <c r="W112" s="251">
        <f t="shared" si="26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49"/>
      <c r="BI112" s="550"/>
      <c r="BJ112" s="214"/>
      <c r="BK112" s="214"/>
      <c r="BL112" s="214"/>
      <c r="BM112" s="560"/>
      <c r="BN112" s="211"/>
      <c r="BO112" s="211"/>
      <c r="BP112" s="248">
        <f t="shared" si="27"/>
        <v>0</v>
      </c>
      <c r="BQ112" s="240">
        <f t="shared" si="23"/>
        <v>0</v>
      </c>
      <c r="BR112" s="251">
        <f t="shared" si="24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6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1" t="s">
        <v>54</v>
      </c>
      <c r="BH113" s="552"/>
      <c r="BI113" s="553" t="s">
        <v>54</v>
      </c>
      <c r="BJ113" s="554"/>
      <c r="BK113" s="554"/>
      <c r="BL113" s="554"/>
      <c r="BM113" s="551" t="s">
        <v>118</v>
      </c>
      <c r="BN113" s="551"/>
      <c r="BO113" s="551"/>
      <c r="BP113" s="555"/>
      <c r="BQ113" s="556">
        <f>SUBTOTAL(109,Table13597192103[اجمالي])</f>
        <v>7765.666666666667</v>
      </c>
      <c r="BR113" s="557">
        <f>Table13597192103[[#Totals],[اجمالي]]/$R$68</f>
        <v>0.027762651341425724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7" t="s">
        <v>54</v>
      </c>
      <c r="M114" s="508"/>
      <c r="N114" s="509" t="s">
        <v>54</v>
      </c>
      <c r="O114" s="510"/>
      <c r="P114" s="510"/>
      <c r="Q114" s="510"/>
      <c r="R114" s="507" t="s">
        <v>118</v>
      </c>
      <c r="S114" s="507"/>
      <c r="T114" s="507"/>
      <c r="U114" s="511"/>
      <c r="V114" s="512">
        <f>SUBTOTAL(109,Table13597192[اجمالي])</f>
        <v>9149.3333333333321</v>
      </c>
      <c r="W114" s="513">
        <f>Table13597192[[#Totals],[اجمالي]]/$R$68</f>
        <v>0.032709329699937895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869" t="s">
        <v>162</v>
      </c>
      <c r="BK115" s="869"/>
      <c r="BL115" s="869"/>
      <c r="BM115" s="869"/>
      <c r="BN115" s="869"/>
      <c r="BO115" s="869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869" t="s">
        <v>162</v>
      </c>
      <c r="P116" s="869"/>
      <c r="Q116" s="869"/>
      <c r="R116" s="869"/>
      <c r="S116" s="869"/>
      <c r="T116" s="869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294</v>
      </c>
      <c r="BJ117" s="214"/>
      <c r="BK117" s="211"/>
      <c r="BL117" s="216"/>
      <c r="BM117" s="214"/>
      <c r="BN117" s="211"/>
      <c r="BO117" s="247"/>
      <c r="BP117" s="248">
        <f>Table80102113[[#Totals],[price]]</f>
        <v>104234.7</v>
      </c>
      <c r="BQ117" s="252">
        <f>BH117*Table1613687798109[[#This Row],[سعر الشبك ]]</f>
        <v>104234.7</v>
      </c>
      <c r="BR117" s="241">
        <f>(BQ117)/$R$68</f>
        <v>0.37264432765310224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294</v>
      </c>
      <c r="O118" s="214"/>
      <c r="P118" s="211"/>
      <c r="Q118" s="216"/>
      <c r="R118" s="214"/>
      <c r="S118" s="211"/>
      <c r="T118" s="247"/>
      <c r="U118" s="248">
        <f>F97</f>
        <v>155657.2</v>
      </c>
      <c r="V118" s="252">
        <f>M118*Table1613687798[[#This Row],[سعر الشبك ]]</f>
        <v>155657.2</v>
      </c>
      <c r="W118" s="241">
        <f>(V118)/$R$68</f>
        <v>0.55648236756439529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131</v>
      </c>
      <c r="BJ118" s="214"/>
      <c r="BK118" s="211"/>
      <c r="BL118" s="216"/>
      <c r="BM118" s="214"/>
      <c r="BN118" s="211"/>
      <c r="BO118" s="247"/>
      <c r="BP118" s="248">
        <f>BQ117</f>
        <v>104234.7</v>
      </c>
      <c r="BQ118" s="240">
        <f>BH118*Table1613687798109[[#This Row],[سعر الشبك ]]</f>
        <v>10423.470000000001</v>
      </c>
      <c r="BR118" s="241">
        <f>(BQ118)/$R$68</f>
        <v>0.037264432765310232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131</v>
      </c>
      <c r="O119" s="214"/>
      <c r="P119" s="211"/>
      <c r="Q119" s="216"/>
      <c r="R119" s="214"/>
      <c r="S119" s="211"/>
      <c r="T119" s="247"/>
      <c r="U119" s="248">
        <f>F97</f>
        <v>155657.2</v>
      </c>
      <c r="V119" s="240">
        <f>M119*Table1613687798[[#This Row],[سعر الشبك ]]</f>
        <v>15565.720000000001</v>
      </c>
      <c r="W119" s="241">
        <f>(V119)/$R$68</f>
        <v>0.055648236756439526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114658.17</v>
      </c>
      <c r="BR119" s="244">
        <f>Table1613687798109[[#Totals],[اجمالي]]/$R$68</f>
        <v>0.40990876041841245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171222.92</v>
      </c>
      <c r="W120" s="244">
        <f>Table1613687798[[#Totals],[اجمالي]]/$R$68</f>
        <v>0.61213060432083477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869" t="s">
        <v>132</v>
      </c>
      <c r="BK120" s="869"/>
      <c r="BL120" s="869"/>
      <c r="BM120" s="869"/>
      <c r="BN120" s="869"/>
      <c r="BO120" s="869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869" t="s">
        <v>132</v>
      </c>
      <c r="P121" s="869"/>
      <c r="Q121" s="869"/>
      <c r="R121" s="869"/>
      <c r="S121" s="869"/>
      <c r="T121" s="869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133</v>
      </c>
      <c r="BK121" s="211" t="s">
        <v>12</v>
      </c>
      <c r="BL121" s="211" t="s">
        <v>134</v>
      </c>
      <c r="BM121" s="211" t="s">
        <v>135</v>
      </c>
      <c r="BN121" s="211" t="s">
        <v>61</v>
      </c>
      <c r="BO121" s="211" t="s">
        <v>136</v>
      </c>
      <c r="BP121" s="211" t="s">
        <v>137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27</v>
      </c>
      <c r="M122" s="211" t="s">
        <v>28</v>
      </c>
      <c r="N122" s="218" t="s">
        <v>29</v>
      </c>
      <c r="O122" s="211" t="s">
        <v>133</v>
      </c>
      <c r="P122" s="211" t="s">
        <v>12</v>
      </c>
      <c r="Q122" s="211" t="s">
        <v>134</v>
      </c>
      <c r="R122" s="211" t="s">
        <v>135</v>
      </c>
      <c r="S122" s="211" t="s">
        <v>61</v>
      </c>
      <c r="T122" s="211" t="s">
        <v>136</v>
      </c>
      <c r="U122" s="211" t="s">
        <v>137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138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139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0" ca="1">BH122*BP122</f>
        <v>560</v>
      </c>
      <c r="BR122" s="241">
        <f ref="BR122:BR134" t="shared" si="31" ca="1">(BQ122)/$R$68</f>
        <v>0.002002028340713191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138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139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2" ca="1">M123*U123</f>
        <v>560</v>
      </c>
      <c r="W123" s="241">
        <f ref="W123:W135" t="shared" si="33" ca="1">(V123)/$R$68</f>
        <v>0.002002028340713191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140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139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0" ca="1"/>
        <v>560</v>
      </c>
      <c r="BR123" s="241">
        <f t="shared" si="31" ca="1"/>
        <v>0.002002028340713191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140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139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2" ca="1"/>
        <v>560</v>
      </c>
      <c r="W124" s="241">
        <f t="shared" si="33" ca="1"/>
        <v>0.002002028340713191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141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139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0"/>
        <v>0</v>
      </c>
      <c r="BR124" s="241">
        <f t="shared" si="31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141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139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2"/>
        <v>0</v>
      </c>
      <c r="W125" s="241">
        <f t="shared" si="33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142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139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0" ca="1"/>
        <v>1680</v>
      </c>
      <c r="BR125" s="241">
        <f t="shared" si="31" ca="1"/>
        <v>0.0060060850221395736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142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139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2" ca="1"/>
        <v>1680</v>
      </c>
      <c r="W126" s="241">
        <f t="shared" si="33" ca="1"/>
        <v>0.0060060850221395736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143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المقطم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0" ca="1"/>
        <v>4000</v>
      </c>
      <c r="BR126" s="241">
        <f t="shared" si="31" ca="1"/>
        <v>0.01430020243366565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143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2" ca="1"/>
        <v>4000</v>
      </c>
      <c r="W127" s="241">
        <f t="shared" si="33" ca="1"/>
        <v>0.01430020243366565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144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المقطم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0" ca="1"/>
        <v>3000</v>
      </c>
      <c r="BR127" s="241">
        <f t="shared" si="31" ca="1"/>
        <v>0.010725151825249238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144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2" ca="1"/>
        <v>3000</v>
      </c>
      <c r="W128" s="241">
        <f t="shared" si="33" ca="1"/>
        <v>0.010725151825249238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145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المقطم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0"/>
        <v>0</v>
      </c>
      <c r="BR128" s="241">
        <f t="shared" si="31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145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2"/>
        <v>0</v>
      </c>
      <c r="W129" s="241">
        <f t="shared" si="33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146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المقطم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0" ca="1"/>
        <v>4000</v>
      </c>
      <c r="BR129" s="241">
        <f t="shared" si="31" ca="1"/>
        <v>0.01430020243366565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146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2" ca="1"/>
        <v>4000</v>
      </c>
      <c r="W130" s="241">
        <f t="shared" si="33" ca="1"/>
        <v>0.01430020243366565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147</v>
      </c>
      <c r="BJ130" s="211"/>
      <c r="BK130" s="211"/>
      <c r="BL130" s="211" t="str">
        <f>تسعير!$BE$44</f>
        <v>المقطم</v>
      </c>
      <c r="BM130" s="214"/>
      <c r="BN130" s="247">
        <f>SUMIF(Table17697899110[Column1],Table1612677697108[[#This Row],[موقع العمل]],$Z$2:$Z$20)</f>
        <v>320</v>
      </c>
      <c r="BO130" s="247"/>
      <c r="BP130" s="243">
        <f>Table1612677697108[[#This Row],[Column12]]</f>
        <v>320</v>
      </c>
      <c r="BQ130" s="240">
        <f t="shared" si="30" ca="1"/>
        <v>7040</v>
      </c>
      <c r="BR130" s="241">
        <f t="shared" si="31" ca="1"/>
        <v>0.025168356283251547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147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2" ca="1"/>
        <v>8800</v>
      </c>
      <c r="W131" s="241">
        <f t="shared" si="33" ca="1"/>
        <v>0.031460445354064434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148</v>
      </c>
      <c r="BJ131" s="211"/>
      <c r="BK131" s="211"/>
      <c r="BL131" s="211" t="str">
        <f>تسعير!$BE$44</f>
        <v>المقطم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0" ca="1"/>
        <v>3600</v>
      </c>
      <c r="BR131" s="241">
        <f t="shared" si="31" ca="1"/>
        <v>0.012870182190299086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148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2" ca="1"/>
        <v>3600</v>
      </c>
      <c r="W132" s="241">
        <f t="shared" si="33" ca="1"/>
        <v>0.012870182190299086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149</v>
      </c>
      <c r="BJ132" s="211"/>
      <c r="BK132" s="211"/>
      <c r="BL132" s="211" t="str">
        <f>تسعير!$BE$44</f>
        <v>المقطم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0" ca="1"/>
        <v>0</v>
      </c>
      <c r="BR132" s="241">
        <f t="shared" si="31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149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2" ca="1"/>
        <v>0</v>
      </c>
      <c r="W133" s="241">
        <f t="shared" si="33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150</v>
      </c>
      <c r="BJ133" s="211"/>
      <c r="BK133" s="211"/>
      <c r="BL133" s="211" t="str">
        <f>تسعير!$BE$44</f>
        <v>المقطم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0" ca="1"/>
        <v>12000</v>
      </c>
      <c r="BR133" s="241">
        <f t="shared" si="31" ca="1"/>
        <v>0.04290060730099695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150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2" ca="1"/>
        <v>12000</v>
      </c>
      <c r="W134" s="241">
        <f t="shared" si="33" ca="1"/>
        <v>0.04290060730099695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المقطم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0" ca="1"/>
        <v>1050</v>
      </c>
      <c r="BR134" s="241">
        <f t="shared" si="31" ca="1"/>
        <v>0.0037538031388372334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2" ca="1"/>
        <v>1050</v>
      </c>
      <c r="W135" s="241">
        <f t="shared" si="33" ca="1"/>
        <v>0.0037538031388372334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0" t="s">
        <v>54</v>
      </c>
      <c r="BH135" s="569"/>
      <c r="BI135" s="548" t="s">
        <v>54</v>
      </c>
      <c r="BJ135" s="570"/>
      <c r="BK135" s="570"/>
      <c r="BL135" s="571"/>
      <c r="BM135" s="571"/>
      <c r="BN135" s="572">
        <f>SUBTOTAL(109,Table1612677697108[Column12])</f>
        <v>10370</v>
      </c>
      <c r="BO135" s="570"/>
      <c r="BP135" s="242"/>
      <c r="BQ135" s="573">
        <f>SUBTOTAL(109,Table1612677697108[اجمالي])</f>
        <v>37490</v>
      </c>
      <c r="BR135" s="574">
        <f>Table1612677697108[[#Totals],[اجمالي]]/$R$68</f>
        <v>0.13402864730953132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0" t="s">
        <v>54</v>
      </c>
      <c r="M136" s="569"/>
      <c r="N136" s="548" t="s">
        <v>54</v>
      </c>
      <c r="O136" s="570"/>
      <c r="P136" s="570"/>
      <c r="Q136" s="571"/>
      <c r="R136" s="571"/>
      <c r="S136" s="572">
        <f>SUBTOTAL(109,Table1612677697[Column12])</f>
        <v>10450</v>
      </c>
      <c r="T136" s="570"/>
      <c r="U136" s="242"/>
      <c r="V136" s="573">
        <f>SUBTOTAL(109,Table1612677697[اجمالي])</f>
        <v>39250</v>
      </c>
      <c r="W136" s="574">
        <f>Table1612677697[[#Totals],[اجمالي]]/$R$68</f>
        <v>0.1403207363803442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880"/>
      <c r="BK136" s="880"/>
      <c r="BL136" s="880"/>
      <c r="BM136" s="880"/>
      <c r="BN136" s="880"/>
      <c r="BO136" s="88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880"/>
      <c r="P137" s="880"/>
      <c r="Q137" s="880"/>
      <c r="R137" s="880"/>
      <c r="S137" s="880"/>
      <c r="T137" s="88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151</v>
      </c>
      <c r="BK137" s="211" t="s">
        <v>152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9</v>
      </c>
      <c r="O138" s="211" t="s">
        <v>151</v>
      </c>
      <c r="P138" s="211" t="s">
        <v>152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153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186783.83666666664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153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255272.25333333336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154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242818.98766666665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154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331853.92933333339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PERG. CS.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2026-04-27T09:14:49Z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