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<sst xmlns="http://schemas.openxmlformats.org/spreadsheetml/2006/main" count="598" uniqueCount="598">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</sst>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93267.083333333328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500</v>
      </c>
      <c r="D7" s="182" t="s">
        <v>428</v>
      </c>
      <c r="E7" s="183">
        <f>تسعير!X31</f>
        <v>1600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312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265000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265000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500</v>
      </c>
      <c r="L6" s="759"/>
      <c r="M6" s="94" t="s">
        <v>366</v>
      </c>
      <c r="N6" s="95">
        <f>تسجيل2!E7</f>
        <v>1600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499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1572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94.13136</v>
      </c>
      <c r="U8" s="138">
        <f>T8*S8</f>
        <v>25886.124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3</v>
      </c>
      <c r="H11" s="743"/>
      <c r="I11" s="744">
        <f>'Format διαστασης οδηγου (2)'!F8</f>
        <v>1565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3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5.86875</v>
      </c>
      <c r="U11" s="103">
        <f>CEILING(T11,0.5)</f>
        <v>6</v>
      </c>
      <c r="V11" s="103">
        <f>U11*S11</f>
        <v>48</v>
      </c>
      <c r="W11" s="140">
        <v>4.45627705627706</v>
      </c>
      <c r="X11" s="141">
        <f>($W$1/1000)*W11*V11</f>
        <v>56683.844155844206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5926.843853820591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240.5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247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240.5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1108.923076923081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249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245.5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1108.923076923081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245.5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497.5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2</v>
      </c>
      <c r="H20" s="724"/>
      <c r="I20" s="719">
        <f>L17-7</f>
        <v>238.5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2623.5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3</v>
      </c>
      <c r="H21" s="710"/>
      <c r="I21" s="711">
        <f>(I11*2)+45</f>
        <v>3175</v>
      </c>
      <c r="J21" s="711"/>
      <c r="K21" s="106"/>
      <c r="L21" s="112">
        <f>IF(Format!E7=1,"-------",IF(Format!E7=5,"-------",تسجيل2!H30))</f>
        <v>3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95.25</v>
      </c>
      <c r="U21" s="142">
        <f t="shared" si="0"/>
        <v>95.25</v>
      </c>
      <c r="V21" s="142">
        <f>U21*S21</f>
        <v>95.25</v>
      </c>
      <c r="W21" s="142">
        <f>Sheet2!B17</f>
        <v>175</v>
      </c>
      <c r="X21" s="144">
        <f>W21*V21</f>
        <v>16668.75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3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390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3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12</v>
      </c>
      <c r="AB29" s="60">
        <f t="shared" si="10"/>
        <v>4500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 t="e">
        <f t="shared" si="11"/>
        <v>#VALUE!</v>
      </c>
      <c r="AB30" s="60">
        <f t="shared" si="10"/>
        <v>4500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9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9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62.6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219.1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82">
        <f>N8</f>
        <v>1572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500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1600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1600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1600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1600</v>
      </c>
      <c r="T31" s="47" t="s">
        <v>348</v>
      </c>
      <c r="U31" s="57">
        <f>INT((S31-4)/25)+1</f>
        <v>64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1600</v>
      </c>
      <c r="E2" s="1">
        <f>تسجيل2!E7</f>
        <v>1600</v>
      </c>
      <c r="F2" s="1">
        <f>تسجيل2!E7</f>
        <v>1600</v>
      </c>
      <c r="G2" s="1">
        <f>تسجيل2!E7</f>
        <v>1600</v>
      </c>
      <c r="H2" s="8">
        <f>تسجيل2!E7</f>
        <v>1600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1600</v>
      </c>
      <c r="E6" s="1">
        <f>IF(E3=0,E2,E2-E3-E4+10)</f>
        <v>1600</v>
      </c>
      <c r="F6" s="1">
        <f>IF(F3=0,F2,F2-F3-F4+10)</f>
        <v>1600</v>
      </c>
      <c r="G6" s="1">
        <f>IF(G3=0,G2,G2-G3-G4+10)</f>
        <v>1600</v>
      </c>
      <c r="H6" s="8">
        <f>IF(H3=0,H2,H2-H3-H4+10)</f>
        <v>1600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1600</v>
      </c>
      <c r="L6" s="10">
        <f>IF('Format (2)'!E8=1,تسجيل2!E7-30,IF('Format (2)'!E8=2,D7,IF('Format (2)'!E8=3,E7,IF('Format (2)'!E8=4,F7,IF('Format (2)'!E8=5,G7,IF('Format (2)'!E8=6,H7,"-----"))))))</f>
        <v>1570</v>
      </c>
    </row>
    <row r="7">
      <c r="A7" s="783"/>
      <c r="B7" s="784"/>
      <c r="C7" s="19" t="s">
        <v>278</v>
      </c>
      <c r="D7" s="6">
        <f>D6-30</f>
        <v>1570</v>
      </c>
      <c r="E7" s="6">
        <f>E6-17</f>
        <v>1583</v>
      </c>
      <c r="F7" s="6">
        <f>F6-30</f>
        <v>1570</v>
      </c>
      <c r="G7" s="6">
        <f>G6-17</f>
        <v>1583</v>
      </c>
      <c r="H7" s="9">
        <f>H6-30</f>
        <v>1570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1600</v>
      </c>
      <c r="E11" s="1">
        <f>تسجيل2!E7</f>
        <v>1600</v>
      </c>
      <c r="F11" s="1">
        <f>تسجيل2!E7</f>
        <v>1600</v>
      </c>
      <c r="G11" s="1">
        <f>تسجيل2!E7</f>
        <v>1600</v>
      </c>
      <c r="H11" s="8">
        <f>تسجيل2!E7</f>
        <v>1600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1600</v>
      </c>
      <c r="L14" s="10">
        <f>IF('Format (2)'!E8=1,تسجيل2!E7-30,IF('Format (2)'!E8=2,D16,IF('Format (2)'!E8=3,E16,IF('Format (2)'!E8=4,F16,IF('Format (2)'!E8=5,G16,IF('Format (2)'!E8=6,H16))))))</f>
        <v>1570</v>
      </c>
    </row>
    <row r="15">
      <c r="A15" s="787"/>
      <c r="B15" s="788"/>
      <c r="C15" s="10" t="s">
        <v>276</v>
      </c>
      <c r="D15" s="1">
        <f>IF(D12=0,D11,D11-D12-D13+11)</f>
        <v>1600</v>
      </c>
      <c r="E15" s="1">
        <f>IF(E12=0,E11,E11-E12-E13+11)</f>
        <v>1600</v>
      </c>
      <c r="F15" s="1">
        <f>IF(F12=0,F11,F11-F12-F13+11)</f>
        <v>1600</v>
      </c>
      <c r="G15" s="1">
        <f>IF(G12=0,G11,G11-G12-G13+11)</f>
        <v>1600</v>
      </c>
      <c r="H15" s="8">
        <f>IF(H12=0,H11,H11-H12-H13+11)</f>
        <v>1600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1570</v>
      </c>
      <c r="E16" s="6">
        <f>E15-17</f>
        <v>1583</v>
      </c>
      <c r="F16" s="6">
        <f>F15-30</f>
        <v>1570</v>
      </c>
      <c r="G16" s="6">
        <f>G15-17</f>
        <v>1583</v>
      </c>
      <c r="H16" s="9">
        <f>H15-30</f>
        <v>1570</v>
      </c>
      <c r="Q16" s="10">
        <f>IF('Format (2)'!A7=1,K6,IF('Format (2)'!A7=3,K6,IF('Format (2)'!A7=4,K23,IF('Format (2)'!A7=2,K23,IF('Format (2)'!A7=5,K14,"------")))))</f>
        <v>1600</v>
      </c>
      <c r="R16" s="10">
        <f>IF('Format (2)'!A7=1,L6,IF('Format (2)'!A7=3,L6,IF('Format (2)'!A7=4,L23,IF('Format (2)'!A7=2,L23+2,IF('Format (2)'!A7=5,L14,"------")))))</f>
        <v>1572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1600</v>
      </c>
      <c r="E20" s="1">
        <f>تسجيل2!E7</f>
        <v>1600</v>
      </c>
      <c r="F20" s="1">
        <f>تسجيل2!E7</f>
        <v>1600</v>
      </c>
      <c r="G20" s="1">
        <f>تسجيل2!E7</f>
        <v>1600</v>
      </c>
      <c r="H20" s="8">
        <f>تسجيل2!E7</f>
        <v>1600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1600</v>
      </c>
      <c r="L23" s="10">
        <f>IF('Format (2)'!E8=1,تسجيل2!E7-30,IF('Format (2)'!E8=2,D25,IF('Format (2)'!E8=3,E25,IF('Format (2)'!E8=4,F25,IF('Format (2)'!E8=5,G25,IF('Format (2)'!E8=6,H25))))))</f>
        <v>1570</v>
      </c>
    </row>
    <row r="24">
      <c r="A24" s="793"/>
      <c r="B24" s="794"/>
      <c r="C24" s="10" t="s">
        <v>276</v>
      </c>
      <c r="D24" s="1">
        <f>IF(D21=0,D20,D20-D21-D22+11)</f>
        <v>1600</v>
      </c>
      <c r="E24" s="1">
        <f>IF(E21=0,E20,E20-E21-E22+11)</f>
        <v>1600</v>
      </c>
      <c r="F24" s="1">
        <f>IF(F21=0,F20,F20-F21-F22+11)</f>
        <v>1600</v>
      </c>
      <c r="G24" s="1">
        <f>IF(G21=0,G20,G20-G21-G22+11)</f>
        <v>1600</v>
      </c>
      <c r="H24" s="8">
        <f>IF(H21=0,H20,H20-H21-H22+11)</f>
        <v>1600</v>
      </c>
    </row>
    <row r="25">
      <c r="A25" s="795"/>
      <c r="B25" s="796"/>
      <c r="C25" s="19" t="s">
        <v>278</v>
      </c>
      <c r="D25" s="6">
        <f>D24-30</f>
        <v>1570</v>
      </c>
      <c r="E25" s="6">
        <f>E24-13</f>
        <v>1587</v>
      </c>
      <c r="F25" s="6">
        <f>F24-30</f>
        <v>1570</v>
      </c>
      <c r="G25" s="6">
        <f>G24-13</f>
        <v>1587</v>
      </c>
      <c r="H25" s="9">
        <f>H24-30</f>
        <v>1570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500</v>
      </c>
      <c r="J4" s="15">
        <v>4</v>
      </c>
      <c r="K4" s="15">
        <v>2</v>
      </c>
    </row>
    <row r="5">
      <c r="A5" s="1" t="s">
        <v>257</v>
      </c>
      <c r="B5" s="1">
        <f>تسجيل2!E7</f>
        <v>1600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1600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1568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1565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1568</v>
      </c>
      <c r="F8" s="1">
        <f>IF('Format (2)'!A7=1,C6,IF('Format (2)'!A7=2,C7,IF('Format (2)'!A7=3,C8,IF('Format (2)'!A7=4,C9,IF('Format (2)'!A7=5,C10)))))</f>
        <v>1565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1568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1600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1600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1600</v>
      </c>
      <c r="F16" s="1">
        <f>IF('Format (2)'!A7=1,C14,IF('Format (2)'!A7=2,C15,IF('Format (2)'!A7=3,C16,IF('Format (2)'!A7=4,C17,IF('Format (2)'!A7=5,C118)))))</f>
        <v>1600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1600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16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176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1600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500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32A3526-424E-48E4-89A1-120F2966E8C8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5F42EE5-089C-4FAD-8DA2-AF692729DEA5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9FC7C4B-D650-4D61-96A8-EA545DBFFF09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BAA11DE9-5DA4-457F-A24A-9C98BE1900D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1843AE-3B50-4ABD-B723-5908969A9A8F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C6A66075-DF80-43FB-ADC5-9FBA9BBD7335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2B2AFAE4-19F7-4BC1-A81D-7472AF26EFB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73B7D52F-3C19-4891-9CAC-112580DEAABA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69CBE4-CF79-4F0B-80B9-46F7725A6A49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A057F8CE-3BE1-4C10-8462-FBD3F1138278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56A93969-B24D-423C-81B1-E682664EED38}">
          <x14:formula1>
            <xm:f>wavy2!$A$19:$A$20</xm:f>
          </x14:formula1>
          <xm:sqref>BE9</xm:sqref>
        </x14:dataValidation>
        <x14:dataValidation type="list" allowBlank="1" showInputMessage="1" showErrorMessage="1" xr:uid="{10E1EE72-5698-441D-8453-D716CCDFB2FC}">
          <x14:formula1>
            <xm:f>wavy1!$A$19:$A$20</xm:f>
          </x14:formula1>
          <xm:sqref>AT9</xm:sqref>
        </x14:dataValidation>
        <x14:dataValidation type="list" allowBlank="1" showInputMessage="1" showErrorMessage="1" xr:uid="{9841FFAB-DBEB-41FB-8375-ACB0F1350883}">
          <x14:formula1>
            <xm:f>Sheet2!$B$5:$B$7</xm:f>
          </x14:formula1>
          <xm:sqref>T25 T46 T64</xm:sqref>
        </x14:dataValidation>
        <x14:dataValidation type="list" allowBlank="1" showInputMessage="1" showErrorMessage="1" xr:uid="{3CE24D87-F83E-42B9-B32B-A8EFBA7B3B8F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A8FF94D5-6C76-4F3B-AECD-D92DB1E19F24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8998A256-DC1E-44FC-9BE8-3844E59AE33E}">
          <x14:formula1>
            <xm:f>Sheet2!$C$5:$C$6</xm:f>
          </x14:formula1>
          <xm:sqref>T26</xm:sqref>
        </x14:dataValidation>
        <x14:dataValidation type="list" allowBlank="1" showInputMessage="1" showErrorMessage="1" xr:uid="{A3FC233B-F8A5-4945-AB79-56C4E30A1531}">
          <x14:formula1>
            <xm:f>Sheet2!$A$5</xm:f>
          </x14:formula1>
          <xm:sqref>U31</xm:sqref>
        </x14:dataValidation>
        <x14:dataValidation type="list" allowBlank="1" showInputMessage="1" showErrorMessage="1" xr:uid="{55859F60-0E99-4A8F-ABAF-12446A1749C3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1FAB3BAF-F3BD-4CAE-B52B-1D2266A31F0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812C7842-A1A1-45BB-B3D3-34F36E8FB1F9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A9212485-C67D-4129-88B8-264BB5225BD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2491C9C3-4177-4C1F-AFFC-29243BD677B5}">
          <x14:formula1>
            <xm:f>Sheet2!$D$5:$D$6</xm:f>
          </x14:formula1>
          <xm:sqref>T32 T53 T71</xm:sqref>
        </x14:dataValidation>
        <x14:dataValidation type="list" allowBlank="1" showInputMessage="1" showErrorMessage="1" xr:uid="{1D76E9C8-AD56-43D9-A4C5-4482501A4685}">
          <x14:formula1>
            <xm:f>Sheet2!$A$6</xm:f>
          </x14:formula1>
          <xm:sqref>AC36</xm:sqref>
        </x14:dataValidation>
        <x14:dataValidation type="list" allowBlank="1" showInputMessage="1" showErrorMessage="1" xr:uid="{B2C24AC2-E42E-46CA-87EB-AAC2B2BBF517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45638.565774212962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141DABC-4599-4536-881E-C1510C49AC78}">
      <formula1>$N$2:$N$20</formula1>
    </dataValidation>
    <dataValidation type="list" allowBlank="1" showInputMessage="1" showErrorMessage="1" sqref="G63:G75" xr:uid="{FEC6A125-EE7C-497F-BF85-F316154DCE3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45638.565774212962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34.56</v>
      </c>
      <c r="G10" s="211"/>
      <c r="H10" s="211">
        <f>H9*B9+B8*H8+H7*B7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3.3600000000000003</v>
      </c>
      <c r="G15" s="211"/>
      <c r="H15" s="211"/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5000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8780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577.5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7000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22680.833333333332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1575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28000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29575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0.25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250</v>
      </c>
      <c r="E72" s="211">
        <f>SUMIF(Table1731[Column1],Table161229[[#This Row],[موقع العمل]],$Q$2:$Q$26)</f>
        <v>0</v>
      </c>
      <c r="F72" s="211" t="str">
        <f>تسعير!$T$24</f>
        <v>الاسكندرية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2" s="240">
        <f t="shared" si="14"/>
        <v>4000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250</v>
      </c>
      <c r="E73" s="211">
        <f>SUMIF(Table1731[Column1],Table161229[[#This Row],[موقع العمل]],$Q$2:$Q$26)</f>
        <v>0</v>
      </c>
      <c r="F73" s="211" t="str">
        <f>تسعير!$T$24</f>
        <v>الاسكندرية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3000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250</v>
      </c>
      <c r="E74" s="211">
        <f>SUMIF(Table1731[Column1],Table161229[[#This Row],[موقع العمل]],$Q$2:$Q$26)</f>
        <v>0</v>
      </c>
      <c r="F74" s="211" t="str">
        <f>تسعير!$T$24</f>
        <v>الاسكندرية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250</v>
      </c>
      <c r="E75" s="211">
        <f>SUMIF(Table1731[Column1],Table161229[[#This Row],[موقع العمل]],$Q$2:$Q$26)</f>
        <v>0</v>
      </c>
      <c r="F75" s="211" t="str">
        <f>تسعير!$T$24</f>
        <v>الاسكندرية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5" s="240">
        <f t="shared" si="14"/>
        <v>3000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الاسكندرية</v>
      </c>
      <c r="G76" s="214"/>
      <c r="H76" s="247">
        <f>SUMIF(Table1731[Column1],Table161229[[#This Row],[موقع العمل]],$O$2:$O$26)</f>
        <v>0</v>
      </c>
      <c r="I76" s="247"/>
      <c r="J76" s="243">
        <f>Table161229[[#This Row],[Column12]]</f>
        <v>0</v>
      </c>
      <c r="K76" s="240">
        <f t="shared" si="14"/>
        <v>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149</v>
      </c>
      <c r="D77" s="211"/>
      <c r="E77" s="211"/>
      <c r="F77" s="211" t="str">
        <f>تسعير!$T$24</f>
        <v>الاسكندرية</v>
      </c>
      <c r="G77" s="214"/>
      <c r="H77" s="247">
        <f>SUMIF(Table1731[Column1],Table161229[[#This Row],[موقع العمل]],$P$2:$P$26)</f>
        <v>0</v>
      </c>
      <c r="I77" s="247"/>
      <c r="J77" s="243">
        <f>Table161229[[#This Row],[Column12]]</f>
        <v>0</v>
      </c>
      <c r="K77" s="240">
        <f t="shared" si="14"/>
        <v>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الاسكندرية</v>
      </c>
      <c r="G78" s="214"/>
      <c r="H78" s="247">
        <f>SUMIF(Table1731[Column1],Table161229[[#This Row],[موقع العمل]],$R$2:$R$26)</f>
        <v>500</v>
      </c>
      <c r="I78" s="247"/>
      <c r="J78" s="243">
        <f>Table161229[[#This Row],[Column12]]</f>
        <v>500</v>
      </c>
      <c r="K78" s="240">
        <f t="shared" si="14"/>
        <v>1000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الاسكندرية</v>
      </c>
      <c r="G79" s="214"/>
      <c r="H79" s="247">
        <f>SUMIF(Table1731[Column1],Table161229[[#This Row],[موقع العمل]],$S$2:$S$26)</f>
        <v>1000</v>
      </c>
      <c r="I79" s="247"/>
      <c r="J79" s="243">
        <f>Table161229[[#This Row],[Column12]]</f>
        <v>1000</v>
      </c>
      <c r="K79" s="240">
        <f t="shared" si="14"/>
        <v>1000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الاسكندرية</v>
      </c>
      <c r="G80" s="214"/>
      <c r="H80" s="247">
        <f>SUMIF(Table1731[Column1],Table161229[[#This Row],[موقع العمل]],$T$2:$T$26)</f>
        <v>0</v>
      </c>
      <c r="I80" s="247"/>
      <c r="J80" s="243">
        <f>Table161229[[#This Row],[Column12]]</f>
        <v>0</v>
      </c>
      <c r="K80" s="240">
        <f t="shared" si="14"/>
        <v>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1500</v>
      </c>
      <c r="I81" s="560"/>
      <c r="J81" s="564"/>
      <c r="K81" s="565">
        <f>SUBTOTAL(109,Table161229[اجمالي])</f>
        <v>18000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5BB6C59B-5895-4686-B9C1-B7F73FB8846F}">
      <formula1>$U$4:$U$5</formula1>
    </dataValidation>
    <dataValidation type="list" allowBlank="1" showInputMessage="1" showErrorMessage="1" sqref="F72:F80" xr:uid="{4DA7B2E5-D2E5-467E-A937-6E916EF4E284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45638.56577439815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190EE31-E59E-4442-95FD-A7253C39F13E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45638.56577439815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9FD371E5-872E-4ABB-989A-0DE2D6B6E80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2A70EB7-3E0E-411E-BDFC-20CA2BAD1C5C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45638.56577439815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45638.56577439815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45638.56577458333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45638.56577458333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44D74A6-5EBF-4253-BB50-ACAB9964C4EB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