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<sst xmlns="http://schemas.openxmlformats.org/spreadsheetml/2006/main" count="598" uniqueCount="598">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</sst>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2133.1235057477479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 t="e">
        <f>'بيرسا و لوفرز'!R140</f>
        <v>#DIV/0!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 t="e">
        <f>BE22/(BE33*BE34/10000)</f>
        <v>#DIV/0!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600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191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700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600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 t="e">
        <f>('بيرسا و لوفرز'!F97+'بيرسا و لوفرز'!V126+'بيرسا و لوفرز'!V134)*1.35</f>
        <v>#DIV/0!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 t="e">
        <f>BD37/(BE33*BE34/10000)</f>
        <v>#DIV/0!</v>
      </c>
      <c r="BE38" s="621"/>
      <c r="BK38" s="485">
        <f>BE33</f>
        <v>700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9CB63487-FFE8-41DF-9B93-C67D7B84680C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C177B198-79EC-4E22-AFD9-754184970189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95CCEB07-84D1-4B61-A136-296DEA77385C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A84AD62D-A226-4B7A-A3B0-31E7620104F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E0541789-2424-4E78-969D-B2AC878A315C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3AA0777B-B60C-4B3F-8CA2-DB73053C041A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B97E930E-50CD-4CF3-8AAA-EC4EDB452348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831A0D8-18F9-42D8-BA2A-F742AA1FE007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6AB4F18E-7426-4829-BBF1-AE1CE60546B9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D982B81-C44B-4EBA-AAFE-D457C8652554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8581E1A2-C5BC-424B-81D0-E88043D2655A}">
          <x14:formula1>
            <xm:f>wavy2!$A$19:$A$20</xm:f>
          </x14:formula1>
          <xm:sqref>BE9</xm:sqref>
        </x14:dataValidation>
        <x14:dataValidation type="list" allowBlank="1" showInputMessage="1" showErrorMessage="1" xr:uid="{2E506884-2902-4A7B-8F42-4BBC2B235CCD}">
          <x14:formula1>
            <xm:f>wavy1!$A$19:$A$20</xm:f>
          </x14:formula1>
          <xm:sqref>AT9</xm:sqref>
        </x14:dataValidation>
        <x14:dataValidation type="list" allowBlank="1" showInputMessage="1" showErrorMessage="1" xr:uid="{F4333513-E8A1-4320-BD53-33C59926D59C}">
          <x14:formula1>
            <xm:f>Sheet2!$B$5:$B$7</xm:f>
          </x14:formula1>
          <xm:sqref>T25 T46 T64</xm:sqref>
        </x14:dataValidation>
        <x14:dataValidation type="list" allowBlank="1" showInputMessage="1" showErrorMessage="1" xr:uid="{170B98FE-F63D-4D75-951D-B7C7DED108F7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4D3FDD5A-2DB0-400D-972B-A6EBDE1287DB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5A91FCD0-AD22-4C7A-8870-999E333061AB}">
          <x14:formula1>
            <xm:f>Sheet2!$C$5:$C$6</xm:f>
          </x14:formula1>
          <xm:sqref>T26</xm:sqref>
        </x14:dataValidation>
        <x14:dataValidation type="list" allowBlank="1" showInputMessage="1" showErrorMessage="1" xr:uid="{35188E73-E0B4-4CA3-8D6D-8CD02A889BD0}">
          <x14:formula1>
            <xm:f>Sheet2!$A$5</xm:f>
          </x14:formula1>
          <xm:sqref>U31</xm:sqref>
        </x14:dataValidation>
        <x14:dataValidation type="list" allowBlank="1" showInputMessage="1" showErrorMessage="1" xr:uid="{6CE26BC9-02E9-4805-A157-688A522C7EAC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A7959E51-9A17-42D6-9467-5F4EED402D8B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CCEDC5E8-B45D-4AC1-93B4-BA9BC7282B35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C4C36B6A-6445-47DB-9DA6-6B984F857FCD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DD3A8DC-FF09-4FE5-99FA-1DF3AC2C5E9A}">
          <x14:formula1>
            <xm:f>Sheet2!$D$5:$D$6</xm:f>
          </x14:formula1>
          <xm:sqref>T32 T53 T71</xm:sqref>
        </x14:dataValidation>
        <x14:dataValidation type="list" allowBlank="1" showInputMessage="1" showErrorMessage="1" xr:uid="{4E6FF054-1424-48BB-BC07-B3C41CA598D9}">
          <x14:formula1>
            <xm:f>Sheet2!$A$6</xm:f>
          </x14:formula1>
          <xm:sqref>AC36</xm:sqref>
        </x14:dataValidation>
        <x14:dataValidation type="list" allowBlank="1" showInputMessage="1" showErrorMessage="1" xr:uid="{5E0B228A-296C-44E9-9A0F-C7D6B4D86A7E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45659.590545474537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45865BFA-68E7-44B8-ADF4-4086A5E411BE}">
      <formula1>$N$2:$N$20</formula1>
    </dataValidation>
    <dataValidation type="list" allowBlank="1" showInputMessage="1" showErrorMessage="1" sqref="G63:G75" xr:uid="{C796DD32-804D-4EE2-AF0B-B65AA03C5751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45659.590545474537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6829A4EC-9A26-4EA5-8013-52D047BCCD5F}">
      <formula1>$U$4:$U$5</formula1>
    </dataValidation>
    <dataValidation type="list" allowBlank="1" showInputMessage="1" showErrorMessage="1" sqref="F72:F80" xr:uid="{DF04BB9E-97AA-4CCE-AAC3-75366CC8F155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45659.590545474537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BE4E18FA-9CE1-49EB-8BA7-0BDA0A80B8E4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45659.590545648149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A290647-4EE3-4D1E-98FA-0EB611742ABD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014B9872-AD16-4D80-8161-6914CD875655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45659.590545648149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45659.590545648149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45659.590545729166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42</v>
      </c>
      <c r="C74" s="537" t="s">
        <v>428</v>
      </c>
      <c r="D74" s="538">
        <f>تسعير!BE34</f>
        <v>600</v>
      </c>
      <c r="E74" s="537" t="s">
        <v>125</v>
      </c>
      <c r="F74" s="538">
        <f>تسعير!BE33</f>
        <v>700</v>
      </c>
      <c r="G74" s="537" t="s">
        <v>172</v>
      </c>
      <c r="H74" s="538" t="str">
        <f>تسعير!BE26</f>
        <v>خشبي</v>
      </c>
      <c r="I74" s="539" t="str">
        <f>تسعير!BE32</f>
        <v>قواعد عادية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6" t="s">
        <v>18</v>
      </c>
      <c r="R74" s="642">
        <f>NOW()</f>
        <v>45659.590545729166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38</v>
      </c>
      <c r="C76" s="544">
        <f>F74-16.5</f>
        <v>683.5</v>
      </c>
      <c r="D76" s="541" t="s">
        <v>566</v>
      </c>
      <c r="E76" s="541">
        <v>2.3</v>
      </c>
      <c r="F76" s="541" t="e">
        <f>IF(($H$74="سادة"),(J76*H76*E76*($U$73+(Sheet2!B41*1000))/1000),(J76*H76*E76*($U$73+(Sheet2!B15))/1000))</f>
        <v>#DIV/0!</v>
      </c>
      <c r="G76" s="531"/>
      <c r="H76" s="542">
        <f>IF(AND((C76&gt;=150),(C76&lt;201)),4,IF(AND((C76&gt;=201),(C76&lt;251)),5,IF(AND((C76&gt;=251),(C76&lt;401)),4,IF(AND((C76&gt;=401),(C76&lt;501)),5,0))))</f>
        <v>0</v>
      </c>
      <c r="I76" s="281">
        <f ref="I76:I81" t="shared" si="21">(H76*100)/C76</f>
        <v>0</v>
      </c>
      <c r="J76" s="545" t="e">
        <f ref="J76:J81" t="shared" si="22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700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15161.999999999998</v>
      </c>
      <c r="G77" s="546"/>
      <c r="H77" s="542">
        <f>IF(AND((C77&gt;=200),(C77&lt;250)),5,IF(AND((C77&gt;=250),(C77&lt;=350)),7,IF(AND((C77&gt;350),(C77&lt;501)),5,IF(AND((C77&gt;=501),(C77&lt;701)),7,0))))</f>
        <v>7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0.060395928867017112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600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15161.999999999998</v>
      </c>
      <c r="G78" s="546"/>
      <c r="H78" s="542">
        <f>IF(AND((C78&gt;=200),(C78&lt;=250)),5,IF(AND((C78&gt;250),(C78&lt;=350)),7,IF(AND((C78&gt;350),(C78&lt;501)),5,IF(AND((C78&gt;=501),(C78&lt;701)),7,0))))</f>
        <v>7</v>
      </c>
      <c r="I78" s="281">
        <f t="shared" si="21"/>
        <v>1.1666666666666667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700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6783</v>
      </c>
      <c r="G79" s="546"/>
      <c r="H79" s="542">
        <f>IF(AND((C79&gt;=200),(C79&lt;=250)),5,IF(AND((C79&gt;250),(C79&lt;=350)),7,IF(AND((C79&gt;350),(C79&lt;501)),5,IF(AND((C79&gt;=501),(C79&lt;701)),7,0))))</f>
        <v>7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600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6783</v>
      </c>
      <c r="G80" s="546"/>
      <c r="H80" s="542">
        <f>IF(AND((C80&gt;=200),(C80&lt;=250)),5,IF(AND((C80&gt;250),(C80&lt;=350)),7,IF(AND((C80&gt;350),(C80&lt;501)),5,IF(AND((C80&gt;=501),(C80&lt;701)),7,0))))</f>
        <v>7</v>
      </c>
      <c r="I80" s="281">
        <f t="shared" si="21"/>
        <v>1.1666666666666667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683.5</v>
      </c>
      <c r="D81" s="541" t="s">
        <v>566</v>
      </c>
      <c r="E81" s="541">
        <v>0.65</v>
      </c>
      <c r="F81" s="541" t="e">
        <f>IF(($H$74="سادة"),(J81*H81*E81*($U$73+(Sheet2!B41*1000))/1000),(J81*H81*E81*($U$73+(Sheet2!B15))/1000))</f>
        <v>#DIV/0!</v>
      </c>
      <c r="G81" s="546"/>
      <c r="H81" s="542">
        <f>IF(AND((C81&gt;=150),(C81&lt;201)),4,IF(AND((C81&gt;=201),(C81&lt;251)),5,IF(AND((C81&gt;=251),(C81&lt;401)),4,IF(AND((C81&gt;=401),(C81&lt;501)),5,0))))</f>
        <v>0</v>
      </c>
      <c r="I81" s="281">
        <f t="shared" si="21"/>
        <v>0</v>
      </c>
      <c r="J81" s="545" t="e">
        <f t="shared" si="22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581.19999999999993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0.11863486027449791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76</v>
      </c>
      <c r="D83" s="541" t="s">
        <v>28</v>
      </c>
      <c r="E83" s="541">
        <v>20</v>
      </c>
      <c r="F83" s="541">
        <f>E83*C83</f>
        <v>1520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26.087999999999997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76</v>
      </c>
      <c r="D84" s="541" t="s">
        <v>28</v>
      </c>
      <c r="E84" s="541">
        <v>18</v>
      </c>
      <c r="F84" s="541">
        <f>E84*C84</f>
        <v>1368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26.087999999999997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4.348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4.348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76</v>
      </c>
      <c r="D88" s="541" t="s">
        <v>28</v>
      </c>
      <c r="E88" s="541">
        <v>120</v>
      </c>
      <c r="F88" s="541">
        <f>C88*E88</f>
        <v>9120</v>
      </c>
      <c r="G88" s="546"/>
      <c r="H88" s="531"/>
      <c r="I88" s="531"/>
      <c r="J88" s="531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76</v>
      </c>
      <c r="D89" s="541" t="s">
        <v>28</v>
      </c>
      <c r="E89" s="541">
        <v>120</v>
      </c>
      <c r="F89" s="541">
        <f>C89*E89</f>
        <v>9120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4800</v>
      </c>
      <c r="W89" s="241">
        <f>(V89)/$R$68</f>
        <v>0.019173310751434004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0.0237669164522984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260</v>
      </c>
      <c r="D91" s="541" t="s">
        <v>566</v>
      </c>
      <c r="E91" s="541">
        <v>10</v>
      </c>
      <c r="F91" s="541">
        <f>C91*E91</f>
        <v>2600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260</v>
      </c>
      <c r="D92" s="541" t="s">
        <v>566</v>
      </c>
      <c r="E92" s="557">
        <v>20</v>
      </c>
      <c r="F92" s="541">
        <f ref="F92:F93" t="shared" si="25">C92*E92</f>
        <v>5200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13</v>
      </c>
      <c r="D93" s="541" t="s">
        <v>28</v>
      </c>
      <c r="E93" s="541">
        <v>250</v>
      </c>
      <c r="F93" s="541">
        <f t="shared" si="25"/>
        <v>3250</v>
      </c>
      <c r="G93" s="531"/>
      <c r="H93" s="531"/>
      <c r="I93" s="531"/>
      <c r="J93" s="531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13</v>
      </c>
      <c r="D94" s="541" t="s">
        <v>28</v>
      </c>
      <c r="E94" s="541">
        <v>40</v>
      </c>
      <c r="F94" s="541">
        <f>E94*C94</f>
        <v>520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660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19800</v>
      </c>
      <c r="W109" s="251">
        <f t="shared" si="29" ca="1"/>
        <v>0.07908990684966527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30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14250</v>
      </c>
      <c r="W110" s="251">
        <f t="shared" si="29" ca="1"/>
        <v>0.0569207662933197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30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15750</v>
      </c>
      <c r="W111" s="251">
        <f t="shared" si="29" ca="1"/>
        <v>0.062912425903142818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51440</v>
      </c>
      <c r="W114" s="516">
        <f>Table13597192[[#Totals],[اجمالي]]/$R$68</f>
        <v>0.20547398021953442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 t="e">
        <f>R139*(1+Table187079100[[#This Row],[Column3]])</f>
        <v>#DIV/0!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0D29CD90-6A79-49E1-96AF-9446E9F867AD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