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<sst xmlns="http://schemas.openxmlformats.org/spreadsheetml/2006/main" count="596" uniqueCount="596">
  <si>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</si>
  <si>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</si>
  <si>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</si>
  <si>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</si>
  <si>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</si>
  <si>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</si>
  <si>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</si>
  <si>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</si>
  <si>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</si>
  <si>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</si>
  <si>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</si>
  <si>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</si>
  <si>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</si>
  <si>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</si>
  <si>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</si>
  <si>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</si>
  <si>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</si>
  <si>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</si>
  <si>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</si>
  <si>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</si>
  <si>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</si>
  <si>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</si>
  <si>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</si>
  <si>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</si>
  <si>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</si>
  <si>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</si>
  <si>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</si>
  <si>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</si>
  <si>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</si>
  <si>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</si>
  <si>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</si>
  <si>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</si>
  <si>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</si>
  <si>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</si>
  <si>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</si>
  <si>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</si>
  <si>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</si>
  <si>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</si>
  <si>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</si>
  <si>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</si>
  <si>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</si>
  <si>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</si>
  <si>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</si>
  <si>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</si>
  <si>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</si>
  <si>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</si>
  <si>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</si>
  <si>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</si>
  <si>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</si>
  <si>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</si>
  <si>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</si>
  <si>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</si>
  <si>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</si>
  <si>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</si>
  <si>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</si>
  <si>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</si>
  <si>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</si>
  <si>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</si>
  <si>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</si>
  <si>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</si>
  <si>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</si>
  <si>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</si>
  <si>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</si>
  <si>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</si>
  <si>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</si>
  <si>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</si>
  <si>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</si>
  <si>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</si>
  <si>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</si>
  <si>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</si>
  <si>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</si>
  <si>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</si>
  <si>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</si>
  <si>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</si>
  <si>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</si>
  <si>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</si>
  <si>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</si>
  <si>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</si>
  <si>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</si>
  <si>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</si>
  <si>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</si>
  <si>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</si>
  <si>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</si>
  <si>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</si>
  <si>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</si>
  <si>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</si>
  <si>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</si>
  <si>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</si>
  <si>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</si>
  <si>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</si>
  <si>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</si>
  <si>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</si>
  <si>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</si>
  <si>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</si>
  <si>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</si>
  <si>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</si>
  <si>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</si>
  <si>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</si>
  <si>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</si>
  <si>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</si>
  <si>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</si>
  <si>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</si>
  <si>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</si>
  <si>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</si>
  <si>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</si>
  <si>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</si>
  <si>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</si>
  <si>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</si>
  <si>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</si>
  <si>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</si>
  <si>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</si>
  <si>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</si>
  <si>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</si>
  <si>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</si>
  <si>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</si>
  <si>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</si>
  <si>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</si>
  <si>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</si>
  <si>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</si>
  <si>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</si>
  <si>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</si>
  <si>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</si>
  <si>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</si>
  <si>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</si>
  <si>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</si>
  <si>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</si>
  <si>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</si>
  <si>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</si>
  <si>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</si>
  <si>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</si>
  <si>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</si>
  <si>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</si>
  <si>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</si>
  <si>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</si>
  <si>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</si>
  <si>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</si>
  <si>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</si>
  <si>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</si>
  <si>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</si>
  <si>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</si>
  <si>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</si>
  <si>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</si>
  <si>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</si>
  <si>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</si>
  <si>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</si>
  <si>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</si>
  <si>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</si>
  <si>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</si>
  <si>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</si>
  <si>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</si>
  <si>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</si>
  <si>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</si>
  <si>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</si>
  <si>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</si>
  <si>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</si>
  <si>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</si>
  <si>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</si>
  <si>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</si>
  <si>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</si>
  <si>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</si>
  <si>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</si>
  <si>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</si>
  <si>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</si>
  <si>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</si>
  <si>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</si>
  <si>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</si>
  <si>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</si>
  <si>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</si>
  <si>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</si>
  <si>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</si>
  <si>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</si>
  <si>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</si>
  <si>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</si>
  <si>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</si>
  <si>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</si>
  <si>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</si>
  <si>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</si>
  <si>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</si>
  <si>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</si>
  <si>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</si>
  <si>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</si>
  <si>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</si>
  <si>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</si>
  <si>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</si>
  <si>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</si>
  <si>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</si>
  <si>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</si>
  <si>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</si>
  <si>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</si>
  <si>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</si>
  <si>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</si>
  <si>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</si>
  <si>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</si>
  <si>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</si>
  <si>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</si>
  <si>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</si>
  <si>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</si>
  <si>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</si>
  <si>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</si>
  <si>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</si>
  <si>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</si>
  <si>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</si>
  <si>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</si>
  <si>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</si>
  <si>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</si>
  <si>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</si>
  <si>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</si>
  <si>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</si>
  <si>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</si>
  <si>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</si>
  <si>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</si>
  <si>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C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</si>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</sst>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219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220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221</v>
      </c>
      <c r="B10" s="568"/>
    </row>
    <row r="11">
      <c r="A11" s="233" t="s">
        <v>222</v>
      </c>
      <c r="B11" s="233" t="s">
        <v>223</v>
      </c>
    </row>
    <row r="12">
      <c r="A12" s="233" t="s">
        <v>224</v>
      </c>
      <c r="B12" s="233">
        <v>50000</v>
      </c>
    </row>
    <row r="13">
      <c r="A13" s="233" t="s">
        <v>225</v>
      </c>
      <c r="B13" s="233">
        <v>55000</v>
      </c>
    </row>
    <row r="14">
      <c r="A14" s="558" t="s">
        <v>226</v>
      </c>
      <c r="B14" s="233">
        <v>215000</v>
      </c>
    </row>
    <row r="15">
      <c r="A15" s="233" t="s">
        <v>227</v>
      </c>
      <c r="B15" s="233">
        <v>55000</v>
      </c>
    </row>
    <row r="16">
      <c r="A16" s="233" t="s">
        <v>228</v>
      </c>
      <c r="B16" s="233">
        <v>275</v>
      </c>
    </row>
    <row r="17">
      <c r="A17" s="233" t="s">
        <v>229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230</v>
      </c>
      <c r="B33" s="233">
        <v>11000</v>
      </c>
    </row>
    <row r="34">
      <c r="A34" s="233" t="s">
        <v>231</v>
      </c>
      <c r="B34" s="233">
        <v>2000</v>
      </c>
    </row>
    <row r="35">
      <c r="A35" s="233" t="s">
        <v>232</v>
      </c>
      <c r="B35" s="233">
        <v>1500</v>
      </c>
    </row>
    <row r="36">
      <c r="A36" s="233" t="s">
        <v>233</v>
      </c>
      <c r="B36" s="233">
        <v>1500</v>
      </c>
    </row>
    <row r="37">
      <c r="A37" s="233" t="s">
        <v>234</v>
      </c>
      <c r="B37" s="233">
        <v>5000</v>
      </c>
    </row>
    <row r="38">
      <c r="A38" s="233" t="s">
        <v>235</v>
      </c>
      <c r="B38" s="233">
        <v>800</v>
      </c>
    </row>
    <row r="39">
      <c r="A39" s="233" t="s">
        <v>236</v>
      </c>
      <c r="B39" s="233">
        <v>120</v>
      </c>
    </row>
    <row r="40">
      <c r="A40" s="233" t="s">
        <v>237</v>
      </c>
      <c r="B40" s="233">
        <v>90</v>
      </c>
    </row>
    <row r="41">
      <c r="A41" s="233" t="s">
        <v>238</v>
      </c>
      <c r="B41" s="233">
        <v>20</v>
      </c>
    </row>
    <row r="42" ht="18.75">
      <c r="A42" s="331" t="s">
        <v>239</v>
      </c>
      <c r="B42" s="233">
        <v>450</v>
      </c>
    </row>
    <row r="43" ht="18.75">
      <c r="A43" s="331" t="s">
        <v>240</v>
      </c>
      <c r="B43" s="233">
        <v>160</v>
      </c>
    </row>
    <row r="44" ht="18.75">
      <c r="A44" s="331" t="s">
        <v>241</v>
      </c>
      <c r="B44" s="233">
        <v>175</v>
      </c>
    </row>
    <row r="45">
      <c r="A45" s="558" t="s">
        <v>242</v>
      </c>
      <c r="B45" s="233">
        <v>4000</v>
      </c>
    </row>
    <row r="46">
      <c r="A46" s="558" t="s">
        <v>243</v>
      </c>
      <c r="B46" s="233">
        <v>3000</v>
      </c>
    </row>
    <row r="47">
      <c r="A47" s="233" t="s">
        <v>244</v>
      </c>
      <c r="B47" s="233">
        <v>160</v>
      </c>
    </row>
    <row r="48">
      <c r="A48" s="233" t="s">
        <v>245</v>
      </c>
      <c r="B48" s="233">
        <v>20</v>
      </c>
    </row>
    <row r="49">
      <c r="A49" s="233" t="s">
        <v>246</v>
      </c>
      <c r="B49" s="233">
        <v>1200</v>
      </c>
    </row>
    <row r="50">
      <c r="A50" s="233" t="s">
        <v>247</v>
      </c>
      <c r="B50" s="233">
        <v>150</v>
      </c>
    </row>
    <row r="51">
      <c r="A51" s="233" t="s">
        <v>248</v>
      </c>
      <c r="B51" s="233">
        <v>150</v>
      </c>
    </row>
    <row r="52">
      <c r="A52" s="233" t="s">
        <v>249</v>
      </c>
      <c r="B52" s="233">
        <v>250</v>
      </c>
    </row>
    <row r="53">
      <c r="A53" s="233" t="s">
        <v>250</v>
      </c>
      <c r="B53" s="233">
        <v>100</v>
      </c>
    </row>
    <row r="54">
      <c r="A54" s="558" t="s">
        <v>251</v>
      </c>
      <c r="B54" s="233">
        <v>1200</v>
      </c>
    </row>
    <row r="55">
      <c r="A55" s="537" t="s">
        <v>252</v>
      </c>
      <c r="B55" s="233">
        <v>23000</v>
      </c>
    </row>
    <row r="56">
      <c r="A56" s="537" t="s">
        <v>253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366</v>
      </c>
      <c r="O7" s="99">
        <f>AA41/K7</f>
        <v>2895.7462160158993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 (2)'!B9</f>
        <v>5</v>
      </c>
    </row>
    <row r="19" ht="18" customHeight="1">
      <c r="A19" s="637" t="s">
        <v>433</v>
      </c>
      <c r="B19" s="638"/>
      <c r="C19" s="14">
        <f>'Format Φωτισμου (2)'!B12</f>
        <v>35</v>
      </c>
    </row>
    <row r="20" ht="18" customHeight="1">
      <c r="A20" s="637" t="s">
        <v>434</v>
      </c>
      <c r="B20" s="638"/>
      <c r="C20" s="14">
        <f>C19/C18</f>
        <v>7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366</v>
      </c>
      <c r="O7" s="99">
        <f>AA41/K7</f>
        <v>2110.4132453090647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36" t="s">
        <v>288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36" t="s">
        <v>288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36" t="s">
        <v>288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36" t="s">
        <v>288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199</v>
      </c>
      <c r="AH28" s="579" t="s">
        <v>200</v>
      </c>
      <c r="AI28" s="579" t="s">
        <v>169</v>
      </c>
      <c r="AJ28" s="579" t="s">
        <v>201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 t="e">
        <f>'بيرسا و لوفرز'!BM139</f>
        <v>#DIV/0!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 t="e">
        <f>BE42/(BE53*BE54/10000)</f>
        <v>#DIV/0!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211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500</v>
      </c>
      <c r="BM46" s="493">
        <f>BE53</f>
        <v>600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192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600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500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 t="e">
        <f>('بيرسا و لوفرز'!BA85+'بيرسا و لوفرز'!BP133+'بيرسا و لوفرز'!BQ125)*1.35</f>
        <v>#DIV/0!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 t="e">
        <f>BD57/(BE53*BE54/10000)</f>
        <v>#DIV/0!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216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217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218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45411.38454890046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45411.384548912036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45411.384548946757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45411.384548958333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504</v>
      </c>
      <c r="I9" s="366">
        <v>7</v>
      </c>
      <c r="J9" s="367">
        <v>8</v>
      </c>
      <c r="K9" s="368">
        <f t="shared" si="0"/>
        <v>56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215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215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179</v>
      </c>
      <c r="F18" s="323" t="s">
        <v>215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179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45411.384548993054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45411.384548993054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30</v>
      </c>
      <c r="AX72" s="272" t="s">
        <v>426</v>
      </c>
      <c r="AY72" s="273">
        <f>تسعير!BE54</f>
        <v>500</v>
      </c>
      <c r="AZ72" s="272" t="s">
        <v>125</v>
      </c>
      <c r="BA72" s="273">
        <f>تسعير!BE53</f>
        <v>600</v>
      </c>
      <c r="BC72" s="167"/>
      <c r="BD72" s="167" t="str">
        <f>تسعير!BE52</f>
        <v>قواعد عادية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B32</v>
      </c>
      <c r="BJ73" s="207"/>
      <c r="BK73" s="207"/>
      <c r="BL73" s="304" t="s">
        <v>18</v>
      </c>
      <c r="BM73" s="631">
        <f>NOW()</f>
        <v>45411.384549074071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426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45411.384549074071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29</v>
      </c>
      <c r="AX74" s="197">
        <f>BA72-16.5</f>
        <v>583.5</v>
      </c>
      <c r="AY74" s="194" t="s">
        <v>564</v>
      </c>
      <c r="AZ74" s="194">
        <v>2</v>
      </c>
      <c r="BA74" s="194" t="e">
        <f>IF((تسعير!$BE$46="سادة"),(BE74*BC74*AZ74*(Sheet2!$B$14+12000)/1000),(BE74*BC74*AZ74*(Sheet2!$B$14+Sheet2!$B$15)/1000))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8">
        <f>(BC74*100)/AX74</f>
        <v>0</v>
      </c>
      <c r="BE74" s="185" t="e">
        <f>AW74/(ROUNDDOWN(BD74,0))</f>
        <v>#DIV/0!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600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6426</v>
      </c>
      <c r="BC75" s="198">
        <f>IF(AND((AX75&gt;=200),(AX75&lt;350)),5,IF(AND((AX75&gt;=350),(AX75&lt;400)),7,IF(AND((AX75&gt;=400),(AX75&lt;501)),5,IF(AND((AX75&gt;=501),(AX75&lt;701)),7,0))))</f>
        <v>7</v>
      </c>
      <c r="BD75" s="308">
        <f>(BC75*100)/AX75</f>
        <v>1.1666666666666667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500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4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14.399999999999999</v>
      </c>
      <c r="BM76" s="211"/>
      <c r="BN76" s="211">
        <v>84</v>
      </c>
      <c r="BO76" s="211">
        <f>Table15880101112[[#This Row],[المسطح]]*Table15880101112[[#This Row],[عدد]]</f>
        <v>57.599999999999994</v>
      </c>
      <c r="BP76" s="239">
        <f>BN76*$S$2/1000</f>
        <v>4200</v>
      </c>
      <c r="BQ76" s="240">
        <f>BH76*BP76</f>
        <v>16800</v>
      </c>
      <c r="BR76" s="241">
        <f>(BQ76)/$R$68</f>
        <v>0.074225765618890452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440.8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58</v>
      </c>
      <c r="AY78" s="194" t="s">
        <v>28</v>
      </c>
      <c r="AZ78" s="194">
        <v>17</v>
      </c>
      <c r="BA78" s="194">
        <f>AZ78*AX78</f>
        <v>986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58</v>
      </c>
      <c r="AY79" s="194" t="s">
        <v>28</v>
      </c>
      <c r="AZ79" s="194">
        <v>12</v>
      </c>
      <c r="BA79" s="194">
        <f>AZ79*AX79</f>
        <v>696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3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2.16</v>
      </c>
      <c r="BM80" s="242" t="s">
        <v>43</v>
      </c>
      <c r="BN80" s="211"/>
      <c r="BO80" s="211">
        <f>Table15880101112[[#This Row],[المسطح]]*Table15880101112[[#This Row],[عدد]]</f>
        <v>6.48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29.04</v>
      </c>
      <c r="BM81" s="211"/>
      <c r="BN81" s="211">
        <f>(BN76*BH76)+(BN77*BH77)+(BN78*BH78)+(BN79*BH79)</f>
        <v>504</v>
      </c>
      <c r="BO81" s="211">
        <f>SUBTOTAL(109,Table15880101112[اجمالي المسطح])</f>
        <v>114</v>
      </c>
      <c r="BP81" s="242"/>
      <c r="BQ81" s="240">
        <f>SUBTOTAL(109,Table15880101112[اجمالي])</f>
        <v>25200</v>
      </c>
      <c r="BR81" s="244">
        <f>Table15880101112[[#Totals],[اجمالي]]/$R$68</f>
        <v>0.11133864842833569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58</v>
      </c>
      <c r="AY82" s="194" t="s">
        <v>28</v>
      </c>
      <c r="AZ82" s="194">
        <v>100</v>
      </c>
      <c r="BA82" s="194">
        <f>AX82*AZ82</f>
        <v>5800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58</v>
      </c>
      <c r="AY83" s="194" t="s">
        <v>28</v>
      </c>
      <c r="AZ83" s="194">
        <v>100</v>
      </c>
      <c r="BA83" s="194">
        <f>AX83*AZ83</f>
        <v>5800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 t="e">
        <f>(Table80102113[[#Totals],[price]]*1.1)/(BA72*AY72/10000)</f>
        <v>#DIV/0!</v>
      </c>
      <c r="AX85" s="310"/>
      <c r="AY85" s="310"/>
      <c r="AZ85" s="310"/>
      <c r="BA85" s="310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0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0</v>
      </c>
      <c r="BR87" s="241">
        <f>(BQ87)/$R$68</f>
        <v>0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4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1445</v>
      </c>
      <c r="BR89" s="244">
        <f>Table15617293104[[#Totals],[اجمالي]]/$R$68</f>
        <v>0.0063842994832914706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788"/>
      <c r="C92" s="788">
        <f>C91</f>
        <v>82</v>
      </c>
      <c r="D92" s="550" t="s">
        <v>564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0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0</v>
      </c>
      <c r="BR92" s="249">
        <f>(BQ92)/$R$68</f>
        <v>0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0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0</v>
      </c>
      <c r="BR94" s="251">
        <f>(BQ94)/$R$68</f>
        <v>0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0</v>
      </c>
      <c r="BI95" s="213" t="s">
        <v>58</v>
      </c>
      <c r="BJ95" s="214"/>
      <c r="BK95" s="214"/>
      <c r="BL95" s="216">
        <f>SUBTOTAL(109,Table16627394105[Column12])</f>
        <v>9.6000000000000014</v>
      </c>
      <c r="BM95" s="211"/>
      <c r="BN95" s="211">
        <f>(BN93*BH93)+(BH94*BN94)</f>
        <v>0</v>
      </c>
      <c r="BO95" s="211"/>
      <c r="BP95" s="242"/>
      <c r="BQ95" s="240">
        <f>SUBTOTAL(109,Table16627394105[اجمالي])</f>
        <v>0</v>
      </c>
      <c r="BR95" s="244">
        <f>Table16627394105[[#Totals],[اجمالي]]/$R$68</f>
        <v>0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420</v>
      </c>
      <c r="BR105" s="251">
        <f t="shared" si="26" ca="1"/>
        <v>0.0018556441404722615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783</v>
      </c>
      <c r="BR113" s="525">
        <f>Table13597192103[[#Totals],[اجمالي]]/$R$68</f>
        <v>0.00345945086188043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 t="e">
        <f>BM138*(1+Table187079100111[[#This Row],[Column3]])</f>
        <v>#DIV/0!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Φωτισμου'!B9</f>
        <v>5</v>
      </c>
    </row>
    <row r="19" ht="18" customHeight="1">
      <c r="A19" s="637" t="s">
        <v>433</v>
      </c>
      <c r="B19" s="638"/>
      <c r="C19" s="14">
        <f>'Format Φωτισμου'!B12</f>
        <v>15</v>
      </c>
    </row>
    <row r="20" ht="18" customHeight="1">
      <c r="A20" s="637" t="s">
        <v>434</v>
      </c>
      <c r="B20" s="638"/>
      <c r="C20" s="14">
        <f>C19/C18</f>
        <v>3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