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<sst xmlns="http://schemas.openxmlformats.org/spreadsheetml/2006/main" count="595" uniqueCount="595">
  <si>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</si>
  <si>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</si>
  <si>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</si>
  <si>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</si>
  <si>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</si>
  <si>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</si>
  <si>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</si>
  <si>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</si>
  <si>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</si>
  <si>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</si>
  <si>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</si>
  <si>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</si>
  <si>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</si>
  <si>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</si>
  <si>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</si>
  <si>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</si>
  <si>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</si>
  <si>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</si>
  <si>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</si>
  <si>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</si>
  <si>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</si>
  <si>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</si>
  <si>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</si>
  <si>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</si>
  <si>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</si>
  <si>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</si>
  <si>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</si>
  <si>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</si>
  <si>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</si>
  <si>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</si>
  <si>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</si>
  <si>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</si>
  <si>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</si>
  <si>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</si>
  <si>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</si>
  <si>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</si>
  <si>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</si>
  <si>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</si>
  <si>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</si>
  <si>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</si>
  <si>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</si>
  <si>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</si>
  <si>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</si>
  <si>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</si>
  <si>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</si>
  <si>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</si>
  <si>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</si>
  <si>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</si>
  <si>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</si>
  <si>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</si>
  <si>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</si>
  <si>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</si>
  <si>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</si>
  <si>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</si>
  <si>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</si>
  <si>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</si>
  <si>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</si>
  <si>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</si>
  <si>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</si>
  <si>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</si>
  <si>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</si>
  <si>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</si>
  <si>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</si>
  <si>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</si>
  <si>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</si>
  <si>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</si>
  <si>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</si>
  <si>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</si>
  <si>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</si>
  <si>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</si>
  <si>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</si>
  <si>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</si>
  <si>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</si>
  <si>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</si>
  <si>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</si>
  <si>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</si>
  <si>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</si>
  <si>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</si>
  <si>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</si>
  <si>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</si>
  <si>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</si>
  <si>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</si>
  <si>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</si>
  <si>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</si>
  <si>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</si>
  <si>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</si>
  <si>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</si>
  <si>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</si>
  <si>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</si>
  <si>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</si>
  <si>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</si>
  <si>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</si>
  <si>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</si>
  <si>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</si>
  <si>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</si>
  <si>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</si>
  <si>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</si>
  <si>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</si>
  <si>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</si>
  <si>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</si>
  <si>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</si>
  <si>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</si>
  <si>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</si>
  <si>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</si>
  <si>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</si>
  <si>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</si>
  <si>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</si>
  <si>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</si>
  <si>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</si>
  <si>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</si>
  <si>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</si>
  <si>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</si>
  <si>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</si>
  <si>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</si>
  <si>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</si>
  <si>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</si>
  <si>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</si>
  <si>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</si>
  <si>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</si>
  <si>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</si>
  <si>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</si>
  <si>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</si>
  <si>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</si>
  <si>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</si>
  <si>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</si>
  <si>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</si>
  <si>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</si>
  <si>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</si>
  <si>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</si>
  <si>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</si>
  <si>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</si>
  <si>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</si>
  <si>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</si>
  <si>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</si>
  <si>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</si>
  <si>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</si>
  <si>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</si>
  <si>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</si>
  <si>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</si>
  <si>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</si>
  <si>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</si>
  <si>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</si>
  <si>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</si>
  <si>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</si>
  <si>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</si>
  <si>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</si>
  <si>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</si>
  <si>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</si>
  <si>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</si>
  <si>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</si>
  <si>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</si>
  <si>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</si>
  <si>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</si>
  <si>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</si>
  <si>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</si>
  <si>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</si>
  <si>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</si>
  <si>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</si>
  <si>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</si>
  <si>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</si>
  <si>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</si>
  <si>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</si>
  <si>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</si>
  <si>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</si>
  <si>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</si>
  <si>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</si>
  <si>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</si>
  <si>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</si>
  <si>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</si>
  <si>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</si>
  <si>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</si>
  <si>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</si>
  <si>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</si>
  <si>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</si>
  <si>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</si>
  <si>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</si>
  <si>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</si>
  <si>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</si>
  <si>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</si>
  <si>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</si>
  <si>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</si>
  <si>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</si>
  <si>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</si>
  <si>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</si>
  <si>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</si>
  <si>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</si>
  <si>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</si>
  <si>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</si>
  <si>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</si>
  <si>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</si>
  <si>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</si>
  <si>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</si>
  <si>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</si>
  <si>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</si>
  <si>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</si>
  <si>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</si>
  <si>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</si>
  <si>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</si>
  <si>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</si>
  <si>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</si>
  <si>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</si>
  <si>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</si>
  <si>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</si>
  <si>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</si>
  <si>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</si>
  <si>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</si>
  <si>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</si>
  <si>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</si>
  <si>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</si>
  <si>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</si>
  <si>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</si>
  <si>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C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</si>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</sst>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219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220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221</v>
      </c>
      <c r="B10" s="569"/>
    </row>
    <row r="11">
      <c r="A11" s="233" t="s">
        <v>222</v>
      </c>
      <c r="B11" s="233" t="s">
        <v>223</v>
      </c>
    </row>
    <row r="12">
      <c r="A12" s="233" t="s">
        <v>224</v>
      </c>
      <c r="B12" s="233">
        <v>75000</v>
      </c>
    </row>
    <row r="13">
      <c r="A13" s="233" t="s">
        <v>225</v>
      </c>
      <c r="B13" s="233">
        <v>75000</v>
      </c>
    </row>
    <row r="14">
      <c r="A14" s="564" t="s">
        <v>226</v>
      </c>
      <c r="B14" s="233">
        <v>230000</v>
      </c>
    </row>
    <row r="15">
      <c r="A15" s="233" t="s">
        <v>227</v>
      </c>
      <c r="B15" s="233">
        <v>50000</v>
      </c>
    </row>
    <row r="16">
      <c r="A16" s="233" t="s">
        <v>228</v>
      </c>
      <c r="B16" s="233">
        <v>275</v>
      </c>
    </row>
    <row r="17">
      <c r="A17" s="233" t="s">
        <v>229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230</v>
      </c>
      <c r="B33" s="233">
        <v>8000</v>
      </c>
    </row>
    <row r="34">
      <c r="A34" s="233" t="s">
        <v>231</v>
      </c>
      <c r="B34" s="233">
        <v>2000</v>
      </c>
    </row>
    <row r="35">
      <c r="A35" s="233" t="s">
        <v>232</v>
      </c>
      <c r="B35" s="233">
        <v>1500</v>
      </c>
    </row>
    <row r="36">
      <c r="A36" s="233" t="s">
        <v>233</v>
      </c>
      <c r="B36" s="233">
        <v>1500</v>
      </c>
    </row>
    <row r="37">
      <c r="A37" s="233" t="s">
        <v>234</v>
      </c>
      <c r="B37" s="233">
        <v>5000</v>
      </c>
    </row>
    <row r="38">
      <c r="A38" s="233" t="s">
        <v>235</v>
      </c>
      <c r="B38" s="233">
        <v>800</v>
      </c>
    </row>
    <row r="39">
      <c r="A39" s="233" t="s">
        <v>236</v>
      </c>
      <c r="B39" s="233">
        <v>120</v>
      </c>
    </row>
    <row r="40">
      <c r="A40" s="233" t="s">
        <v>237</v>
      </c>
      <c r="B40" s="233">
        <v>90</v>
      </c>
    </row>
    <row r="41">
      <c r="A41" s="233" t="s">
        <v>238</v>
      </c>
      <c r="B41" s="233">
        <v>20</v>
      </c>
    </row>
    <row r="42" ht="18.75">
      <c r="A42" s="331" t="s">
        <v>239</v>
      </c>
      <c r="B42" s="233">
        <v>650</v>
      </c>
    </row>
    <row r="43" ht="18.75">
      <c r="A43" s="331" t="s">
        <v>240</v>
      </c>
      <c r="B43" s="233">
        <v>150</v>
      </c>
    </row>
    <row r="44" ht="18.75">
      <c r="A44" s="331" t="s">
        <v>241</v>
      </c>
      <c r="B44" s="233">
        <v>200</v>
      </c>
    </row>
    <row r="45">
      <c r="A45" s="564" t="s">
        <v>242</v>
      </c>
      <c r="B45" s="233">
        <v>4000</v>
      </c>
    </row>
    <row r="46">
      <c r="A46" s="564" t="s">
        <v>243</v>
      </c>
      <c r="B46" s="233">
        <v>3000</v>
      </c>
    </row>
    <row r="47">
      <c r="A47" s="233" t="s">
        <v>244</v>
      </c>
      <c r="B47" s="233">
        <v>150</v>
      </c>
    </row>
    <row r="48">
      <c r="A48" s="233" t="s">
        <v>245</v>
      </c>
      <c r="B48" s="233">
        <v>20</v>
      </c>
    </row>
    <row r="49">
      <c r="A49" s="233" t="s">
        <v>246</v>
      </c>
      <c r="B49" s="233">
        <v>1200</v>
      </c>
    </row>
    <row r="50">
      <c r="A50" s="233" t="s">
        <v>247</v>
      </c>
      <c r="B50" s="233">
        <v>150</v>
      </c>
    </row>
    <row r="51">
      <c r="A51" s="233" t="s">
        <v>248</v>
      </c>
      <c r="B51" s="233">
        <v>150</v>
      </c>
    </row>
    <row r="52">
      <c r="A52" s="233" t="s">
        <v>249</v>
      </c>
      <c r="B52" s="233">
        <v>250</v>
      </c>
    </row>
    <row r="53">
      <c r="A53" s="233" t="s">
        <v>250</v>
      </c>
      <c r="B53" s="233">
        <v>100</v>
      </c>
    </row>
    <row r="54">
      <c r="A54" s="564" t="s">
        <v>251</v>
      </c>
      <c r="B54" s="233">
        <v>1200</v>
      </c>
    </row>
    <row r="55">
      <c r="A55" s="540" t="s">
        <v>252</v>
      </c>
      <c r="B55" s="233">
        <v>21000</v>
      </c>
    </row>
    <row r="56">
      <c r="A56" s="540" t="s">
        <v>253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364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366</v>
      </c>
      <c r="O7" s="99">
        <f>AA41/K7</f>
        <v>2925.7747659743609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 (2)'!B9</f>
        <v>5</v>
      </c>
    </row>
    <row r="19" ht="18" customHeight="1">
      <c r="A19" s="639" t="s">
        <v>433</v>
      </c>
      <c r="B19" s="640"/>
      <c r="C19" s="14">
        <f>'Format Φωτισμου (2)'!B12</f>
        <v>35</v>
      </c>
    </row>
    <row r="20" ht="18" customHeight="1">
      <c r="A20" s="639" t="s">
        <v>434</v>
      </c>
      <c r="B20" s="640"/>
      <c r="C20" s="14">
        <f>C19/C18</f>
        <v>7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356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359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360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358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361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254</v>
      </c>
      <c r="B6" s="685"/>
      <c r="C6" s="686"/>
      <c r="D6" s="678" t="s">
        <v>362</v>
      </c>
      <c r="E6" s="747" t="s">
        <v>363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365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366</v>
      </c>
      <c r="O7" s="99">
        <f>AA41/K7</f>
        <v>2124.2963443004232</v>
      </c>
      <c r="S7" s="60" t="s">
        <v>127</v>
      </c>
      <c r="T7" s="61" t="s">
        <v>367</v>
      </c>
      <c r="Z7" s="151"/>
      <c r="AA7" s="60"/>
      <c r="AB7" s="60"/>
    </row>
    <row r="8">
      <c r="A8" s="687"/>
      <c r="B8" s="688"/>
      <c r="C8" s="689"/>
      <c r="D8" s="679"/>
      <c r="E8" s="724" t="s">
        <v>368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370</v>
      </c>
      <c r="B10" s="728"/>
      <c r="C10" s="728"/>
      <c r="D10" s="728"/>
      <c r="E10" s="728"/>
      <c r="F10" s="728"/>
      <c r="G10" s="729" t="s">
        <v>371</v>
      </c>
      <c r="H10" s="729"/>
      <c r="I10" s="729" t="s">
        <v>372</v>
      </c>
      <c r="J10" s="729"/>
      <c r="K10" s="104"/>
      <c r="L10" s="730" t="s">
        <v>307</v>
      </c>
      <c r="M10" s="730"/>
      <c r="N10" s="730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223</v>
      </c>
      <c r="Z10" s="151"/>
      <c r="AA10" s="60"/>
      <c r="AB10" s="60"/>
    </row>
    <row r="11" ht="20.1" customHeight="1">
      <c r="A11" s="731" t="s">
        <v>378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379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380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281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381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382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383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384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385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386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310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387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371</v>
      </c>
      <c r="M20" s="717" t="s">
        <v>388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389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390</v>
      </c>
      <c r="B23" s="705"/>
      <c r="C23" s="705"/>
      <c r="D23" s="705"/>
      <c r="E23" s="706"/>
      <c r="F23" s="67" t="s">
        <v>391</v>
      </c>
      <c r="G23" s="68"/>
      <c r="H23" s="704" t="s">
        <v>392</v>
      </c>
      <c r="I23" s="705"/>
      <c r="J23" s="705"/>
      <c r="K23" s="705"/>
      <c r="L23" s="706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397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298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398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231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399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400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401</v>
      </c>
      <c r="C27" s="691"/>
      <c r="D27" s="691"/>
      <c r="E27" s="692"/>
      <c r="F27" s="73">
        <v>4</v>
      </c>
      <c r="G27" s="71"/>
      <c r="H27" s="72">
        <v>19</v>
      </c>
      <c r="I27" s="693" t="s">
        <v>402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403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404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405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232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406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233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407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408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409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410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411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412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413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234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414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235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415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416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417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418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236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419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420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291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292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38" t="s">
        <v>288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38" t="s">
        <v>288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61" t="s">
        <v>299</v>
      </c>
      <c r="K1" s="762"/>
      <c r="L1" s="762"/>
      <c r="M1" s="763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338</v>
      </c>
      <c r="D17" s="765"/>
      <c r="E17" s="765"/>
      <c r="F17" s="766"/>
      <c r="G17" s="1"/>
      <c r="H17" s="1"/>
      <c r="I17" s="1"/>
    </row>
    <row r="18">
      <c r="A18" s="26" t="s">
        <v>339</v>
      </c>
      <c r="B18" s="27">
        <f>تسجيل1!C7</f>
        <v>500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341</v>
      </c>
      <c r="B29" s="768"/>
      <c r="C29" s="768"/>
      <c r="D29" s="768"/>
      <c r="E29" s="768"/>
      <c r="F29" s="768"/>
      <c r="G29" s="768"/>
      <c r="H29" s="769"/>
      <c r="I29" s="767" t="s">
        <v>342</v>
      </c>
      <c r="J29" s="768"/>
      <c r="K29" s="768"/>
      <c r="L29" s="768"/>
      <c r="M29" s="768"/>
      <c r="N29" s="768"/>
      <c r="O29" s="768"/>
      <c r="P29" s="769"/>
      <c r="Q29" s="767" t="s">
        <v>343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344</v>
      </c>
      <c r="B31" s="756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55" t="s">
        <v>344</v>
      </c>
      <c r="J31" s="756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57" t="s">
        <v>344</v>
      </c>
      <c r="R31" s="758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59" t="s">
        <v>345</v>
      </c>
      <c r="B32" s="760"/>
      <c r="C32" s="760"/>
      <c r="D32" s="34"/>
      <c r="E32" s="34"/>
      <c r="F32" s="38"/>
      <c r="G32" s="34"/>
      <c r="H32" s="35"/>
      <c r="I32" s="759" t="s">
        <v>347</v>
      </c>
      <c r="J32" s="760"/>
      <c r="K32" s="760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264</v>
      </c>
      <c r="B1" s="771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72"/>
      <c r="B2" s="773"/>
      <c r="C2" s="10" t="s">
        <v>270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255</v>
      </c>
      <c r="L5" s="10" t="s">
        <v>273</v>
      </c>
    </row>
    <row r="6">
      <c r="A6" s="772"/>
      <c r="B6" s="773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277</v>
      </c>
      <c r="B10" s="777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78"/>
      <c r="B11" s="779"/>
      <c r="C11" s="10" t="s">
        <v>270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78"/>
      <c r="B14" s="779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0"/>
      <c r="B16" s="781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280</v>
      </c>
      <c r="B19" s="783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84"/>
      <c r="B20" s="785"/>
      <c r="C20" s="10" t="s">
        <v>270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84"/>
      <c r="B23" s="785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500</v>
      </c>
      <c r="J4" s="15">
        <v>4</v>
      </c>
      <c r="K4" s="15">
        <v>2</v>
      </c>
    </row>
    <row r="5">
      <c r="A5" s="1" t="s">
        <v>255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Ro-1'!L14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15</v>
      </c>
      <c r="C10" s="638" t="s">
        <v>288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289</v>
      </c>
      <c r="B11" s="13">
        <f>E10/B9</f>
        <v>3</v>
      </c>
      <c r="C11" s="638" t="s">
        <v>288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18636.8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3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 t="e">
        <f>'بيرسا و لوفرز'!BM139</f>
        <v>#DIV/0!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 t="e">
        <f>BE42/(BE53*BE54/10000)</f>
        <v>#DIV/0!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211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600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212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213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214</v>
      </c>
      <c r="T52" s="462" t="s">
        <v>215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600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 t="e">
        <f>('بيرسا و لوفرز'!BA85+'بيرسا و لوفرز'!BP133+'بيرسا و لوفرز'!BQ125)*1.35</f>
        <v>#DIV/0!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 t="e">
        <f>BD57/(BE53*BE54/10000)</f>
        <v>#DIV/0!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216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212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213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214</v>
      </c>
      <c r="T70" s="462" t="s">
        <v>215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217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218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259</v>
      </c>
      <c r="I7" s="788"/>
      <c r="J7" s="788"/>
      <c r="K7" s="789"/>
    </row>
    <row r="8">
      <c r="A8" s="4" t="s">
        <v>260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800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263</v>
      </c>
      <c r="I15" s="788"/>
      <c r="J15" s="788"/>
      <c r="K15" s="789"/>
    </row>
    <row r="16">
      <c r="A16" s="4" t="s">
        <v>260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45332.494652337962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45332.494652337962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45332.49465252315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45332.49465252315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404" t="s">
        <v>468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471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476</v>
      </c>
      <c r="B2" s="323" t="s">
        <v>198</v>
      </c>
      <c r="C2" s="323" t="s">
        <v>477</v>
      </c>
      <c r="E2" s="324" t="s">
        <v>9</v>
      </c>
      <c r="F2" s="323" t="s">
        <v>30</v>
      </c>
      <c r="H2" s="329" t="s">
        <v>9</v>
      </c>
      <c r="I2" s="364" t="s">
        <v>478</v>
      </c>
      <c r="J2" s="365" t="s">
        <v>479</v>
      </c>
      <c r="K2" s="366" t="s">
        <v>480</v>
      </c>
      <c r="M2" s="367" t="s">
        <v>481</v>
      </c>
      <c r="N2" s="367" t="s">
        <v>482</v>
      </c>
      <c r="O2" s="0" t="s">
        <v>9</v>
      </c>
      <c r="P2" s="368"/>
      <c r="R2" s="343"/>
      <c r="S2" s="323" t="s">
        <v>198</v>
      </c>
      <c r="T2" s="323" t="s">
        <v>477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478</v>
      </c>
      <c r="AA2" s="331" t="s">
        <v>479</v>
      </c>
      <c r="AB2" s="331" t="s">
        <v>480</v>
      </c>
      <c r="AD2" s="0" t="s">
        <v>481</v>
      </c>
      <c r="AE2" s="0" t="s">
        <v>482</v>
      </c>
      <c r="AF2" s="0" t="s">
        <v>9</v>
      </c>
      <c r="AG2" s="368"/>
    </row>
    <row r="3" ht="26.25">
      <c r="A3" s="330" t="s">
        <v>483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484</v>
      </c>
      <c r="I3" s="369">
        <v>2</v>
      </c>
      <c r="J3" s="370">
        <v>75</v>
      </c>
      <c r="K3" s="371">
        <f ref="K3:K10" t="shared" si="0">I3*J3</f>
        <v>150</v>
      </c>
      <c r="M3" s="372" t="s">
        <v>485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2" t="str">
        <f>IF((N6&gt;0),"OK","WAIT")</f>
        <v>OK</v>
      </c>
      <c r="P3" s="368"/>
      <c r="R3" s="343"/>
      <c r="S3" s="386" t="s">
        <v>451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486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485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483</v>
      </c>
      <c r="B4" s="331">
        <v>2.7</v>
      </c>
      <c r="C4" s="331" t="s">
        <v>487</v>
      </c>
      <c r="E4" s="331" t="s">
        <v>488</v>
      </c>
      <c r="F4" s="331">
        <f>Sheet2!B43</f>
        <v>150</v>
      </c>
      <c r="H4" s="332" t="s">
        <v>489</v>
      </c>
      <c r="I4" s="369">
        <v>2</v>
      </c>
      <c r="J4" s="370">
        <v>7</v>
      </c>
      <c r="K4" s="371">
        <f t="shared" si="0"/>
        <v>14</v>
      </c>
      <c r="M4" s="372" t="s">
        <v>490</v>
      </c>
      <c r="N4" s="372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14.5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488</v>
      </c>
      <c r="W4" s="331">
        <f>Sheet2!B43</f>
        <v>150</v>
      </c>
      <c r="X4" s="323"/>
      <c r="Y4" s="342" t="s">
        <v>489</v>
      </c>
      <c r="Z4" s="378">
        <v>2</v>
      </c>
      <c r="AA4" s="331">
        <v>15</v>
      </c>
      <c r="AB4" s="331">
        <f t="shared" si="1"/>
        <v>30</v>
      </c>
      <c r="AD4" s="391" t="s">
        <v>490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483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491</v>
      </c>
      <c r="I5" s="369">
        <v>16</v>
      </c>
      <c r="J5" s="370">
        <v>10</v>
      </c>
      <c r="K5" s="371">
        <f t="shared" si="0"/>
        <v>160</v>
      </c>
      <c r="M5" s="372" t="s">
        <v>492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493</v>
      </c>
      <c r="Z5" s="378">
        <v>1</v>
      </c>
      <c r="AA5" s="331">
        <v>150</v>
      </c>
      <c r="AB5" s="331">
        <f t="shared" si="1"/>
        <v>150</v>
      </c>
      <c r="AD5" s="391" t="s">
        <v>492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483</v>
      </c>
      <c r="B6" s="331">
        <v>3.5</v>
      </c>
      <c r="C6" s="331" t="s">
        <v>487</v>
      </c>
      <c r="E6" s="331" t="s">
        <v>494</v>
      </c>
      <c r="F6" s="331">
        <v>250</v>
      </c>
      <c r="H6" s="332" t="s">
        <v>495</v>
      </c>
      <c r="I6" s="369">
        <v>16</v>
      </c>
      <c r="J6" s="370">
        <v>1</v>
      </c>
      <c r="K6" s="371">
        <f t="shared" si="0"/>
        <v>16</v>
      </c>
      <c r="M6" s="372" t="s">
        <v>496</v>
      </c>
      <c r="N6" s="372">
        <f>(N5+'شماسي و كانتليفر'!F10)*(N4)</f>
        <v>3625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497</v>
      </c>
      <c r="W6" s="331">
        <v>250</v>
      </c>
      <c r="X6" s="323"/>
      <c r="Y6" s="342" t="s">
        <v>498</v>
      </c>
      <c r="Z6" s="378">
        <v>1</v>
      </c>
      <c r="AA6" s="331">
        <v>150</v>
      </c>
      <c r="AB6" s="331">
        <f t="shared" si="1"/>
        <v>150</v>
      </c>
      <c r="AD6" s="391" t="s">
        <v>496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499</v>
      </c>
      <c r="I7" s="369">
        <v>2</v>
      </c>
      <c r="J7" s="370">
        <v>100</v>
      </c>
      <c r="K7" s="371">
        <f t="shared" si="0"/>
        <v>200</v>
      </c>
      <c r="M7" s="372" t="s">
        <v>500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501</v>
      </c>
      <c r="Z7" s="378">
        <v>1</v>
      </c>
      <c r="AA7" s="331">
        <v>150</v>
      </c>
      <c r="AB7" s="331">
        <f t="shared" si="1"/>
        <v>150</v>
      </c>
      <c r="AD7" s="391" t="s">
        <v>500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487</v>
      </c>
      <c r="E8" s="331" t="s">
        <v>177</v>
      </c>
      <c r="F8" s="331">
        <f>Table626[[#This Row],[Column2]]</f>
        <v>50</v>
      </c>
      <c r="H8" s="332" t="s">
        <v>502</v>
      </c>
      <c r="I8" s="369">
        <v>2</v>
      </c>
      <c r="J8" s="370">
        <v>20</v>
      </c>
      <c r="K8" s="371">
        <f t="shared" si="0"/>
        <v>40</v>
      </c>
      <c r="M8" s="372" t="s">
        <v>503</v>
      </c>
      <c r="N8" s="372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504</v>
      </c>
      <c r="Z8" s="378">
        <v>2</v>
      </c>
      <c r="AA8" s="331">
        <v>50</v>
      </c>
      <c r="AB8" s="331">
        <f t="shared" si="1"/>
        <v>100</v>
      </c>
      <c r="AD8" s="391" t="s">
        <v>503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505</v>
      </c>
      <c r="I9" s="369">
        <v>7</v>
      </c>
      <c r="J9" s="370">
        <v>8</v>
      </c>
      <c r="K9" s="371">
        <f t="shared" si="0"/>
        <v>56</v>
      </c>
      <c r="M9" s="372" t="s">
        <v>506</v>
      </c>
      <c r="N9" s="372">
        <f>IF((تسعير!AM8="اسباني"),(N7*N8),IF((تسعير!AM8="بولي استر"),(N7*N8*1.42),IF((تسعير!AM8="hdpe"),(N7*N8*1.5),IF((تسعير!AM8="بدون"),(0),IF((تسعير!AM8="مصري "),(N7*N8*1.4),"v")))))</f>
        <v>5525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507</v>
      </c>
      <c r="Z9" s="378">
        <v>36</v>
      </c>
      <c r="AA9" s="331">
        <v>25</v>
      </c>
      <c r="AB9" s="331">
        <f t="shared" si="1"/>
        <v>900</v>
      </c>
      <c r="AD9" s="391" t="s">
        <v>506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226</v>
      </c>
      <c r="F10" s="331">
        <f>W11</f>
        <v>230</v>
      </c>
      <c r="H10" s="332" t="s">
        <v>508</v>
      </c>
      <c r="I10" s="369">
        <v>8</v>
      </c>
      <c r="J10" s="370">
        <v>50</v>
      </c>
      <c r="K10" s="371">
        <f t="shared" si="0"/>
        <v>400</v>
      </c>
      <c r="M10" s="372" t="s">
        <v>509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510</v>
      </c>
      <c r="W10" s="331">
        <v>90</v>
      </c>
      <c r="X10" s="323"/>
      <c r="Y10" s="342" t="s">
        <v>511</v>
      </c>
      <c r="Z10" s="378">
        <v>1</v>
      </c>
      <c r="AA10" s="331">
        <v>75</v>
      </c>
      <c r="AB10" s="331">
        <f t="shared" si="1"/>
        <v>75</v>
      </c>
      <c r="AD10" s="391" t="s">
        <v>509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512</v>
      </c>
      <c r="F11" s="334">
        <v>450</v>
      </c>
      <c r="H11" s="335" t="s">
        <v>513</v>
      </c>
      <c r="I11" s="373"/>
      <c r="J11" s="374"/>
      <c r="K11" s="375">
        <v>250</v>
      </c>
      <c r="M11" s="372" t="s">
        <v>514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42" t="s">
        <v>515</v>
      </c>
      <c r="Z11" s="378">
        <v>1</v>
      </c>
      <c r="AA11" s="331">
        <v>75</v>
      </c>
      <c r="AB11" s="331">
        <f t="shared" si="1"/>
        <v>75</v>
      </c>
      <c r="AD11" s="391" t="s">
        <v>514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516</v>
      </c>
      <c r="F12" s="337">
        <v>450</v>
      </c>
      <c r="H12" s="338" t="s">
        <v>517</v>
      </c>
      <c r="I12" s="369"/>
      <c r="J12" s="370"/>
      <c r="K12" s="376">
        <f>Sheet2!B46</f>
        <v>3000</v>
      </c>
      <c r="M12" s="372" t="s">
        <v>518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512</v>
      </c>
      <c r="W12" s="331">
        <v>500</v>
      </c>
      <c r="X12" s="323"/>
      <c r="Y12" s="391" t="s">
        <v>517</v>
      </c>
      <c r="Z12" s="378"/>
      <c r="AA12" s="331"/>
      <c r="AB12" s="217">
        <f>Sheet2!B45</f>
        <v>4000</v>
      </c>
      <c r="AD12" s="391" t="s">
        <v>519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520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519</v>
      </c>
      <c r="N13" s="372">
        <f>IF(تسعير!AI8="نصف جملة",((N6+N9+N10+N11+تسعير!AO8)*1.275),IF(تسعير!AI8="جملة",(((N6+N9+N10+N11+تسعير!AO8)*1.25)),((N6+N9+N10+N11+تسعير!AO8)*1.3)))</f>
        <v>18636.8</v>
      </c>
      <c r="O13" s="372"/>
      <c r="P13" s="368"/>
      <c r="R13" s="343"/>
      <c r="S13" s="323"/>
      <c r="T13" s="323"/>
      <c r="U13" s="323"/>
      <c r="V13" s="331" t="s">
        <v>516</v>
      </c>
      <c r="W13" s="331">
        <v>500</v>
      </c>
      <c r="X13" s="323"/>
      <c r="Y13" s="342" t="s">
        <v>521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520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526</v>
      </c>
      <c r="I17" s="331">
        <v>5.65</v>
      </c>
      <c r="J17" s="331" t="s">
        <v>487</v>
      </c>
      <c r="K17" s="331" t="s">
        <v>487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8"/>
    </row>
    <row r="18" ht="18.75">
      <c r="A18" s="343"/>
      <c r="E18" s="324" t="s">
        <v>527</v>
      </c>
      <c r="F18" s="323" t="s">
        <v>215</v>
      </c>
      <c r="H18" s="331" t="s">
        <v>528</v>
      </c>
      <c r="I18" s="331" t="s">
        <v>487</v>
      </c>
      <c r="J18" s="331" t="s">
        <v>487</v>
      </c>
      <c r="K18" s="331" t="s">
        <v>487</v>
      </c>
      <c r="P18" s="368"/>
      <c r="R18" s="343"/>
      <c r="V18" s="331" t="s">
        <v>179</v>
      </c>
      <c r="W18" s="342" t="s">
        <v>182</v>
      </c>
      <c r="X18" s="323"/>
      <c r="Y18" s="331" t="s">
        <v>451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487</v>
      </c>
      <c r="K19" s="331" t="s">
        <v>487</v>
      </c>
      <c r="P19" s="368"/>
      <c r="R19" s="343"/>
      <c r="V19" s="331" t="s">
        <v>527</v>
      </c>
      <c r="W19" s="342" t="s">
        <v>215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531</v>
      </c>
      <c r="H20" s="331" t="s">
        <v>532</v>
      </c>
      <c r="I20" s="331" t="s">
        <v>487</v>
      </c>
      <c r="J20" s="331" t="s">
        <v>487</v>
      </c>
      <c r="K20" s="331" t="s">
        <v>487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533</v>
      </c>
      <c r="I21" s="331" t="s">
        <v>487</v>
      </c>
      <c r="J21" s="331" t="s">
        <v>487</v>
      </c>
      <c r="K21" s="331" t="s">
        <v>487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534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535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477</v>
      </c>
      <c r="C27" s="348" t="s">
        <v>29</v>
      </c>
      <c r="D27" s="348" t="s">
        <v>536</v>
      </c>
      <c r="E27" s="349" t="s">
        <v>449</v>
      </c>
      <c r="F27" s="348" t="s">
        <v>537</v>
      </c>
      <c r="G27" s="348" t="s">
        <v>443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538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539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540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542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543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546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547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548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550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551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552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553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554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477</v>
      </c>
      <c r="C60" s="348" t="s">
        <v>29</v>
      </c>
      <c r="D60" s="348" t="s">
        <v>536</v>
      </c>
      <c r="E60" s="349" t="s">
        <v>449</v>
      </c>
      <c r="F60" s="348" t="s">
        <v>537</v>
      </c>
      <c r="G60" s="348" t="s">
        <v>443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538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539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540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542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555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546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547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548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551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550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552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553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554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556</v>
      </c>
      <c r="B1" s="548">
        <f>(F1*D1)/10000</f>
        <v>20</v>
      </c>
      <c r="C1" s="549" t="s">
        <v>426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558</v>
      </c>
      <c r="D2" s="553" t="s">
        <v>30</v>
      </c>
      <c r="E2" s="553" t="s">
        <v>559</v>
      </c>
      <c r="F2" s="553" t="s">
        <v>560</v>
      </c>
      <c r="G2" s="543"/>
      <c r="H2" s="554" t="s">
        <v>561</v>
      </c>
      <c r="I2" s="554"/>
      <c r="J2" s="554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563</v>
      </c>
      <c r="B3" s="555">
        <f>ROUNDUP((12+((ROUNDUP((D1-210),15))/15)),0)</f>
        <v>32</v>
      </c>
      <c r="C3" s="556">
        <f>F1-16.5</f>
        <v>383.5</v>
      </c>
      <c r="D3" s="553" t="s">
        <v>564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45332.49465252315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45332.49465252315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565</v>
      </c>
      <c r="B4" s="553">
        <v>2</v>
      </c>
      <c r="C4" s="555">
        <f>F1</f>
        <v>400</v>
      </c>
      <c r="D4" s="553" t="s">
        <v>564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52" t="s">
        <v>567</v>
      </c>
      <c r="B5" s="553">
        <v>2</v>
      </c>
      <c r="C5" s="555">
        <f>D1</f>
        <v>500</v>
      </c>
      <c r="D5" s="553" t="s">
        <v>564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569</v>
      </c>
      <c r="B6" s="553">
        <v>2</v>
      </c>
      <c r="C6" s="555">
        <f>F1</f>
        <v>400</v>
      </c>
      <c r="D6" s="553" t="s">
        <v>564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573</v>
      </c>
      <c r="B7" s="553">
        <v>2</v>
      </c>
      <c r="C7" s="555">
        <f>D1</f>
        <v>500</v>
      </c>
      <c r="D7" s="553" t="s">
        <v>564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576</v>
      </c>
      <c r="B8" s="553">
        <v>2</v>
      </c>
      <c r="C8" s="553">
        <f>C3</f>
        <v>383.5</v>
      </c>
      <c r="D8" s="553" t="s">
        <v>564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571</v>
      </c>
      <c r="B9" s="553">
        <v>2</v>
      </c>
      <c r="C9" s="553">
        <f>(15.6*(B3-1)+4)</f>
        <v>487.59999999999997</v>
      </c>
      <c r="D9" s="553" t="s">
        <v>564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575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578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579</v>
      </c>
      <c r="B12" s="553">
        <v>1</v>
      </c>
      <c r="C12" s="555">
        <v>100</v>
      </c>
      <c r="D12" s="553" t="s">
        <v>564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584</v>
      </c>
      <c r="B13" s="553"/>
      <c r="C13" s="553">
        <v>4</v>
      </c>
      <c r="D13" s="553" t="s">
        <v>371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585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582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583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586</v>
      </c>
      <c r="B17" s="553">
        <v>2</v>
      </c>
      <c r="C17" s="553"/>
      <c r="D17" s="553" t="s">
        <v>564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587</v>
      </c>
      <c r="B18" s="553"/>
      <c r="C18" s="553">
        <f>ROUNDUP(((C3*B3)/100),0)</f>
        <v>123</v>
      </c>
      <c r="D18" s="553" t="s">
        <v>564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588</v>
      </c>
      <c r="B19" s="553" t="s">
        <v>589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590</v>
      </c>
      <c r="B20" s="553" t="s">
        <v>591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592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24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600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45332.49465270833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556</v>
      </c>
      <c r="B74" s="548">
        <f>(F74*D74)/10000</f>
        <v>20</v>
      </c>
      <c r="C74" s="549" t="s">
        <v>426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45332.49465270833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583.5</v>
      </c>
      <c r="AY74" s="194" t="s">
        <v>564</v>
      </c>
      <c r="AZ74" s="194">
        <v>2</v>
      </c>
      <c r="BA74" s="194" t="e">
        <f>IF((تسعير!$BE$46="سادة"),(BE74*BC74*AZ74*(Sheet2!$B$14+12000)/1000),(BE74*BC74*AZ74*(Sheet2!$B$14+Sheet2!$B$15)/1000))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8">
        <f>(BC74*100)/AX74</f>
        <v>0</v>
      </c>
      <c r="BE74" s="185" t="e">
        <f>AW74/(ROUNDDOWN(BD74,0))</f>
        <v>#DIV/0!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558</v>
      </c>
      <c r="D75" s="553" t="s">
        <v>30</v>
      </c>
      <c r="E75" s="553" t="s">
        <v>559</v>
      </c>
      <c r="F75" s="553" t="s">
        <v>560</v>
      </c>
      <c r="G75" s="543"/>
      <c r="H75" s="554" t="s">
        <v>561</v>
      </c>
      <c r="I75" s="554"/>
      <c r="J75" s="554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600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6664</v>
      </c>
      <c r="BC75" s="198">
        <f>IF(AND((AX75&gt;=200),(AX75&lt;350)),5,IF(AND((AX75&gt;=350),(AX75&lt;400)),7,IF(AND((AX75&gt;=400),(AX75&lt;501)),5,IF(AND((AX75&gt;=501),(AX75&lt;701)),7,0))))</f>
        <v>7</v>
      </c>
      <c r="BD75" s="308">
        <f>(BC75*100)/AX75</f>
        <v>1.1666666666666667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563</v>
      </c>
      <c r="B76" s="555">
        <f>ROUNDUP((12+((ROUNDUP((D74-210),15))/15)),0)</f>
        <v>32</v>
      </c>
      <c r="C76" s="556">
        <f>F74-16.5</f>
        <v>383.5</v>
      </c>
      <c r="D76" s="553" t="s">
        <v>564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565</v>
      </c>
      <c r="B77" s="553">
        <v>2</v>
      </c>
      <c r="C77" s="555">
        <f>F74</f>
        <v>400</v>
      </c>
      <c r="D77" s="553" t="s">
        <v>564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567</v>
      </c>
      <c r="B78" s="553">
        <v>2</v>
      </c>
      <c r="C78" s="555">
        <f>D74</f>
        <v>500</v>
      </c>
      <c r="D78" s="553" t="s">
        <v>564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52" t="s">
        <v>569</v>
      </c>
      <c r="B79" s="553">
        <v>2</v>
      </c>
      <c r="C79" s="555">
        <f>F74</f>
        <v>400</v>
      </c>
      <c r="D79" s="553" t="s">
        <v>564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573</v>
      </c>
      <c r="B80" s="553">
        <v>2</v>
      </c>
      <c r="C80" s="555">
        <f>D74</f>
        <v>500</v>
      </c>
      <c r="D80" s="553" t="s">
        <v>564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576</v>
      </c>
      <c r="B81" s="553">
        <v>2</v>
      </c>
      <c r="C81" s="553">
        <f>C76</f>
        <v>383.5</v>
      </c>
      <c r="D81" s="553" t="s">
        <v>564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571</v>
      </c>
      <c r="B82" s="553">
        <v>2</v>
      </c>
      <c r="C82" s="553">
        <f>(15.6*(B76-1)+4)</f>
        <v>487.59999999999997</v>
      </c>
      <c r="D82" s="553" t="s">
        <v>564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575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578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579</v>
      </c>
      <c r="B85" s="553">
        <v>1</v>
      </c>
      <c r="C85" s="555">
        <v>100</v>
      </c>
      <c r="D85" s="553" t="s">
        <v>564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 t="e">
        <f>(Table80102113[[#Totals],[price]]*1.1)/(BA72*AY72/10000)</f>
        <v>#DIV/0!</v>
      </c>
      <c r="AX85" s="310"/>
      <c r="AY85" s="310"/>
      <c r="AZ85" s="310"/>
      <c r="BA85" s="310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584</v>
      </c>
      <c r="B86" s="553"/>
      <c r="C86" s="553">
        <v>4</v>
      </c>
      <c r="D86" s="553" t="s">
        <v>371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585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582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583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586</v>
      </c>
      <c r="B90" s="553">
        <v>2</v>
      </c>
      <c r="C90" s="553"/>
      <c r="D90" s="553" t="s">
        <v>564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587</v>
      </c>
      <c r="B91" s="553"/>
      <c r="C91" s="553">
        <f>ROUNDUP(((C76*B76)/100),0)</f>
        <v>123</v>
      </c>
      <c r="D91" s="553" t="s">
        <v>564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588</v>
      </c>
      <c r="B92" s="553" t="s">
        <v>589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590</v>
      </c>
      <c r="B93" s="553" t="s">
        <v>591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592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360</v>
      </c>
      <c r="BR105" s="251">
        <f t="shared" si="27" ca="1"/>
        <v>0.0017843733503840121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723</v>
      </c>
      <c r="BR113" s="528">
        <f>Table13597192103[[#Totals],[اجمالي]]/$R$68</f>
        <v>0.0035836164786878909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 t="e">
        <f>BM138*(1+Table187079100111[[#This Row],[Column3]])</f>
        <v>#DIV/0!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421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359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422</v>
      </c>
      <c r="F3" s="650" t="s">
        <v>423</v>
      </c>
      <c r="G3" s="650"/>
    </row>
    <row r="4" ht="18" customHeight="1">
      <c r="A4" s="11" t="s">
        <v>291</v>
      </c>
      <c r="F4" s="654" t="s">
        <v>424</v>
      </c>
      <c r="G4" s="655"/>
      <c r="H4" s="655"/>
      <c r="I4" s="656"/>
      <c r="J4" s="10"/>
    </row>
    <row r="5" ht="18" customHeight="1">
      <c r="A5" s="11" t="s">
        <v>292</v>
      </c>
      <c r="F5" s="657" t="s">
        <v>425</v>
      </c>
      <c r="G5" s="648"/>
      <c r="H5" s="648"/>
      <c r="I5" s="649"/>
      <c r="J5" s="10"/>
    </row>
    <row r="6" ht="18" customHeight="1">
      <c r="A6" s="11" t="s">
        <v>363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426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37" t="s">
        <v>427</v>
      </c>
      <c r="C11" s="638"/>
      <c r="D11" s="648" t="s">
        <v>428</v>
      </c>
      <c r="E11" s="649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42"/>
      <c r="R15" s="642"/>
      <c r="S15" s="642"/>
    </row>
    <row r="16" ht="18" customHeight="1">
      <c r="C16" s="650" t="s">
        <v>430</v>
      </c>
      <c r="D16" s="650"/>
      <c r="E16" s="650"/>
      <c r="F16" s="1" t="s">
        <v>431</v>
      </c>
    </row>
    <row r="17" ht="18" customHeight="1">
      <c r="A17" s="650" t="s">
        <v>296</v>
      </c>
      <c r="B17" s="650"/>
      <c r="C17" s="650"/>
    </row>
    <row r="18" ht="18" customHeight="1">
      <c r="A18" s="639" t="s">
        <v>432</v>
      </c>
      <c r="B18" s="640"/>
      <c r="C18" s="14">
        <f>'Format Φωτισμου'!B9</f>
        <v>5</v>
      </c>
    </row>
    <row r="19" ht="18" customHeight="1">
      <c r="A19" s="639" t="s">
        <v>433</v>
      </c>
      <c r="B19" s="640"/>
      <c r="C19" s="14">
        <f>'Format Φωτισμου'!B12</f>
        <v>15</v>
      </c>
    </row>
    <row r="20" ht="18" customHeight="1">
      <c r="A20" s="639" t="s">
        <v>434</v>
      </c>
      <c r="B20" s="640"/>
      <c r="C20" s="14">
        <f>C19/C18</f>
        <v>3</v>
      </c>
    </row>
    <row r="21" ht="18" customHeight="1">
      <c r="A21" s="644" t="s">
        <v>435</v>
      </c>
      <c r="B21" s="645"/>
      <c r="C21" s="646">
        <v>20</v>
      </c>
      <c r="D21" s="647"/>
      <c r="E21" s="637" t="s">
        <v>436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437</v>
      </c>
      <c r="B22" s="640"/>
      <c r="C22" s="179">
        <v>50</v>
      </c>
      <c r="D22" s="184" t="s">
        <v>438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439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310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