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<sst xmlns="http://schemas.openxmlformats.org/spreadsheetml/2006/main" count="795" uniqueCount="795">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</sst>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600</v>
      </c>
      <c r="D3" s="595">
        <f>تسعير!AJ46</f>
        <v>600</v>
      </c>
      <c r="E3" s="595" t="str">
        <f>تسعير!AK46</f>
        <v>خشبي</v>
      </c>
      <c r="F3" s="595" t="str">
        <f>تسعير!AL46</f>
        <v>سادة</v>
      </c>
      <c r="G3" s="102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164741.8125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6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21599.999999999996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6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>
        <f>IF(Table1134[العرض]&lt;=Table1134[الامتداد],T7*T6,"NO")</f>
        <v>36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92.5</v>
      </c>
      <c r="U9" s="361" t="s">
        <v>375</v>
      </c>
      <c r="V9" s="361">
        <f>(Table1134[الامتداد]-((T15*5)+20))/T7</f>
        <v>92.5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>
        <f>Table1134[الامتداد]</f>
        <v>600</v>
      </c>
      <c r="N11" s="532" t="s">
        <v>125</v>
      </c>
      <c r="O11" s="533">
        <f>Table1134[العرض]</f>
        <v>600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21887.999999999996</v>
      </c>
      <c r="X12" s="635"/>
    </row>
    <row r="13" ht="18" customHeight="1">
      <c r="B13" s="532" t="s">
        <v>164</v>
      </c>
      <c r="C13" s="533">
        <f>Table1134[الامتداد]</f>
        <v>600</v>
      </c>
      <c r="D13" s="532" t="s">
        <v>125</v>
      </c>
      <c r="E13" s="533">
        <f>Table1134[العرض]</f>
        <v>600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583.5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24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33105.6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600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5</v>
      </c>
      <c r="U14" s="361">
        <f>Table1134[الامتداد]/100</f>
        <v>6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32490</v>
      </c>
      <c r="X14" s="635"/>
    </row>
    <row r="15" ht="18" customHeight="1">
      <c r="B15" s="193" t="s">
        <v>302</v>
      </c>
      <c r="C15" s="196">
        <f>ROUNDUP((12+((ROUNDUP((C13-210),15))/15)),0)</f>
        <v>38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>
        <f>M11</f>
        <v>600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5</v>
      </c>
      <c r="U15" s="361">
        <f>Table1134[العرض]/100</f>
        <v>6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32490</v>
      </c>
      <c r="X15" s="635"/>
    </row>
    <row r="16" ht="18" customHeight="1">
      <c r="B16" s="193" t="s">
        <v>304</v>
      </c>
      <c r="C16" s="194">
        <v>2</v>
      </c>
      <c r="D16" s="196">
        <f>E13</f>
        <v>600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15275.999999999998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6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72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24624</v>
      </c>
      <c r="X16" s="635"/>
    </row>
    <row r="17" ht="18" customHeight="1">
      <c r="B17" s="193" t="s">
        <v>306</v>
      </c>
      <c r="C17" s="194">
        <v>2</v>
      </c>
      <c r="D17" s="196">
        <f>C13</f>
        <v>600</v>
      </c>
      <c r="E17" s="194" t="s">
        <v>303</v>
      </c>
      <c r="F17" s="194">
        <v>3.8</v>
      </c>
      <c r="G17" s="194">
        <f t="shared" si="2"/>
        <v>15275.999999999998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6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>
        <f>T10*T8</f>
        <v>252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53550</v>
      </c>
      <c r="X17" s="635"/>
    </row>
    <row r="18" ht="18" customHeight="1">
      <c r="B18" s="193" t="s">
        <v>308</v>
      </c>
      <c r="C18" s="194">
        <v>2</v>
      </c>
      <c r="D18" s="196">
        <f>E13</f>
        <v>600</v>
      </c>
      <c r="E18" s="194" t="s">
        <v>303</v>
      </c>
      <c r="F18" s="194">
        <v>1.7</v>
      </c>
      <c r="G18" s="194">
        <f t="shared" si="2"/>
        <v>6833.9999999999991</v>
      </c>
      <c r="H18" s="541"/>
      <c r="I18" s="60">
        <f t="shared" si="3"/>
        <v>6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600</v>
      </c>
      <c r="E19" s="194" t="s">
        <v>303</v>
      </c>
      <c r="F19" s="194">
        <v>1.7</v>
      </c>
      <c r="G19" s="194">
        <f t="shared" si="2"/>
        <v>6833.9999999999991</v>
      </c>
      <c r="H19" s="541"/>
      <c r="I19" s="60">
        <f t="shared" si="3"/>
        <v>6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140</v>
      </c>
      <c r="V20" s="361">
        <v>60</v>
      </c>
      <c r="W20" s="361">
        <f>Table212[[#This Row],[الوزن المتري]]*Table212[[#This Row],[العدد]]</f>
        <v>8400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581.19999999999993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76</v>
      </c>
      <c r="E22" s="194" t="s">
        <v>28</v>
      </c>
      <c r="F22" s="194">
        <v>20</v>
      </c>
      <c r="G22" s="194">
        <f>F22*D22</f>
        <v>1520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76</v>
      </c>
      <c r="E23" s="194" t="s">
        <v>28</v>
      </c>
      <c r="F23" s="194">
        <v>18</v>
      </c>
      <c r="G23" s="194">
        <f>F23*D23</f>
        <v>1368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32560.889999999996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21599.999999999996</v>
      </c>
      <c r="R26" s="635"/>
      <c r="S26" s="361" t="s">
        <v>54</v>
      </c>
      <c r="W26" s="637">
        <f>SUBTOTAL(109,Table212[القيمة])</f>
        <v>249633.48999999996</v>
      </c>
      <c r="X26" s="635"/>
    </row>
    <row r="27" ht="18" customHeight="1">
      <c r="B27" s="193" t="s">
        <v>321</v>
      </c>
      <c r="C27" s="194"/>
      <c r="D27" s="194">
        <f>C15*2</f>
        <v>76</v>
      </c>
      <c r="E27" s="194" t="s">
        <v>28</v>
      </c>
      <c r="F27" s="194">
        <v>120</v>
      </c>
      <c r="G27" s="194">
        <f>D27*F27</f>
        <v>9120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24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32670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76</v>
      </c>
      <c r="E28" s="194" t="s">
        <v>28</v>
      </c>
      <c r="F28" s="194">
        <v>120</v>
      </c>
      <c r="G28" s="194">
        <f>D28*F28</f>
        <v>9120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21599.999999999996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13</v>
      </c>
      <c r="E32" s="194" t="s">
        <v>28</v>
      </c>
      <c r="F32" s="194">
        <v>250</v>
      </c>
      <c r="G32" s="194">
        <f>D32*F32</f>
        <v>3250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12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29790</v>
      </c>
      <c r="X32" s="635"/>
    </row>
    <row r="33" ht="15.6" customHeight="1">
      <c r="B33" s="193" t="s">
        <v>331</v>
      </c>
      <c r="C33" s="194" t="s">
        <v>332</v>
      </c>
      <c r="D33" s="194">
        <f>D32</f>
        <v>13</v>
      </c>
      <c r="E33" s="194" t="s">
        <v>28</v>
      </c>
      <c r="F33" s="194">
        <v>40</v>
      </c>
      <c r="G33" s="194">
        <f>F33*D33</f>
        <v>520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21599.999999999996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>
        <f>IF(AND(Table1134[العرض]&gt;399,Table1134[الامتداد]&gt;399,Table1134[الامتداد]&gt;=Table1134[العرض]),(Table1134[العرض]+Table1134[الامتداد])/50,"NO")</f>
        <v>24</v>
      </c>
      <c r="E40" s="361">
        <v>3.63</v>
      </c>
      <c r="F40" s="361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33105.6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124327.97851525698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33.529411764705884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600</v>
      </c>
      <c r="K43" s="645" t="s">
        <v>375</v>
      </c>
      <c r="L43" s="646">
        <f>Table1134[الامتداد]</f>
        <v>600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33.529411764705884</v>
      </c>
      <c r="U43" s="527">
        <f>ROUND(T42+T43,0)</f>
        <v>67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36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5</v>
      </c>
      <c r="E45" s="638">
        <v>350</v>
      </c>
      <c r="F45" s="361">
        <f>Table4137[[#This Row],[Column4]]*Table4137[[#This Row],[Column2]]</f>
        <v>1750</v>
      </c>
      <c r="I45" s="650" t="s">
        <v>379</v>
      </c>
      <c r="J45" s="648">
        <f>J43-1</f>
        <v>599</v>
      </c>
      <c r="K45" s="651" t="s">
        <v>380</v>
      </c>
      <c r="L45" s="652">
        <f>IF(B141=1,P194,IF(B141=2,P194,IF(B141=3,P194,IF(B141=4,P194,IF(B141=5,P194,"-------")))))</f>
        <v>572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21599.999999999996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340000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24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32670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124327.97851525698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6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3618.0000000000005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>
        <f>SUM(F38:F47)*0.1</f>
        <v>18990.8578515257</v>
      </c>
      <c r="H48" s="527"/>
      <c r="I48" s="527"/>
      <c r="J48" s="1045" t="s">
        <v>127</v>
      </c>
      <c r="K48" s="1046"/>
      <c r="L48" s="1047">
        <f>L47/J44</f>
        <v>3453.5549587571386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6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>
        <f>SUBTOTAL(109,Table4137[Column5])</f>
        <v>208899.4363667827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565</v>
      </c>
      <c r="E52" s="656">
        <f>IF(D52&lt;=400,4,0)</f>
        <v>0</v>
      </c>
      <c r="F52" s="656">
        <f>IF(AND(D52&gt;400,D52&lt;=500),5,0)</f>
        <v>0</v>
      </c>
      <c r="G52" s="656">
        <f>IF(AND(D52&gt;500,D52&lt;=600),6,0)</f>
        <v>6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6</v>
      </c>
      <c r="L52" s="663">
        <f ref="L52:L61" t="shared" si="5">(C52*D52)/K52/100</f>
        <v>1.8833333333333335</v>
      </c>
      <c r="M52" s="541">
        <f>CEILING(L52,0.5)</f>
        <v>2</v>
      </c>
      <c r="N52" s="541">
        <f>M52*K52</f>
        <v>12</v>
      </c>
      <c r="O52" s="663">
        <v>4.4562770562770568</v>
      </c>
      <c r="P52" s="664">
        <f>($L$46/1000)*O52*N52</f>
        <v>18181.610389610392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599</v>
      </c>
      <c r="E53" s="541">
        <f>IF(D53&lt;=400,4,0)</f>
        <v>0</v>
      </c>
      <c r="F53" s="541">
        <f>IF(AND(D53&gt;401,D53&lt;=500),5,0)</f>
        <v>0</v>
      </c>
      <c r="G53" s="541">
        <f>IF(AND(D53&gt;501,D53&lt;=600),6,0)</f>
        <v>6</v>
      </c>
      <c r="H53" s="541">
        <f>IF(AND(D53&gt;601,D53&lt;=700),7,0)</f>
        <v>0</v>
      </c>
      <c r="I53" s="541"/>
      <c r="J53" s="541"/>
      <c r="K53" s="541">
        <f t="shared" si="4"/>
        <v>6</v>
      </c>
      <c r="L53" s="663">
        <f t="shared" si="5"/>
        <v>1.9966666666666666</v>
      </c>
      <c r="M53" s="541">
        <f ref="M53:M62" t="shared" si="6">CEILING(L53,0.25)</f>
        <v>2</v>
      </c>
      <c r="N53" s="541">
        <f ref="N53:N61" t="shared" si="7">C53*K53</f>
        <v>12</v>
      </c>
      <c r="O53" s="663">
        <v>1.8637873754152825</v>
      </c>
      <c r="P53" s="664">
        <f ref="P53:P61" t="shared" si="8">($L$46/1000)*O53*N53</f>
        <v>7604.252491694353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586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9</v>
      </c>
      <c r="D55" s="662">
        <f>D53</f>
        <v>599</v>
      </c>
      <c r="E55" s="541">
        <f>IF(D55&lt;=400,4,0)</f>
        <v>0</v>
      </c>
      <c r="F55" s="541">
        <f>IF(AND(D55&gt;401,D55&lt;=500),5,0)</f>
        <v>0</v>
      </c>
      <c r="G55" s="541">
        <f>IF(AND(D55&gt;501,D55&lt;=600),6,0)</f>
        <v>6</v>
      </c>
      <c r="H55" s="541">
        <f>IF(AND(D55&gt;601,D55&lt;=700),7,0)</f>
        <v>0</v>
      </c>
      <c r="I55" s="541"/>
      <c r="J55" s="541"/>
      <c r="K55" s="541">
        <f t="shared" si="4"/>
        <v>6</v>
      </c>
      <c r="L55" s="663">
        <f t="shared" si="5"/>
        <v>8.985</v>
      </c>
      <c r="M55" s="541">
        <f>CEILING(L55,0.5)</f>
        <v>9</v>
      </c>
      <c r="N55" s="541">
        <f t="shared" si="7"/>
        <v>54</v>
      </c>
      <c r="O55" s="663">
        <v>1.0517241379310345</v>
      </c>
      <c r="P55" s="664">
        <f t="shared" si="8"/>
        <v>19309.655172413793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586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597.5</v>
      </c>
      <c r="E57" s="541">
        <f>IF(D57&lt;=400,4,0)</f>
        <v>0</v>
      </c>
      <c r="F57" s="541">
        <f>IF(AND(D57&gt;401,D57&lt;=500),5,0)</f>
        <v>0</v>
      </c>
      <c r="G57" s="541">
        <f>IF(AND(D57&gt;501,D57&lt;=600),6,0)</f>
        <v>6</v>
      </c>
      <c r="H57" s="541">
        <f>IF(AND(D57&gt;601,D57&lt;=700),7,0)</f>
        <v>0</v>
      </c>
      <c r="I57" s="541"/>
      <c r="J57" s="541"/>
      <c r="K57" s="541">
        <f t="shared" si="4"/>
        <v>6</v>
      </c>
      <c r="L57" s="663">
        <f t="shared" si="5"/>
        <v>0.99583333333333324</v>
      </c>
      <c r="M57" s="541">
        <f ref="M57:M58" t="shared" si="9">CEILING(L57,0.5)</f>
        <v>1</v>
      </c>
      <c r="N57" s="541">
        <f t="shared" si="7"/>
        <v>6</v>
      </c>
      <c r="O57" s="663">
        <v>1.394871794871795</v>
      </c>
      <c r="P57" s="664">
        <f t="shared" si="8"/>
        <v>2845.5384615384619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594.5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51.81818181818182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591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52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597.5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584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6</v>
      </c>
      <c r="J61" s="541">
        <f>IF(D61&gt;600,7,0)</f>
        <v>0</v>
      </c>
      <c r="K61" s="541">
        <f t="shared" si="4"/>
        <v>6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21599.999999999996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1175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23.5</v>
      </c>
      <c r="M62" s="541">
        <f t="shared" si="6"/>
        <v>23.5</v>
      </c>
      <c r="N62" s="541">
        <f>M62*K62</f>
        <v>23.5</v>
      </c>
      <c r="O62" s="541">
        <v>200</v>
      </c>
      <c r="P62" s="664">
        <f>O62*N62</f>
        <v>4700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12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32670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52641.056515257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6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6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3015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58.246759999999995</v>
      </c>
      <c r="D65" s="541">
        <v>950</v>
      </c>
      <c r="E65" s="541">
        <f>D65*C65</f>
        <v>55334.421999999991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9</v>
      </c>
      <c r="D70" s="541">
        <v>1.5</v>
      </c>
      <c r="E70" s="541">
        <f t="shared" si="17"/>
        <v>13.5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9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18</v>
      </c>
      <c r="D72" s="541">
        <v>1</v>
      </c>
      <c r="E72" s="541">
        <f t="shared" si="17"/>
        <v>18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22</v>
      </c>
      <c r="D73" s="541">
        <v>5.5</v>
      </c>
      <c r="E73" s="541">
        <f t="shared" si="17"/>
        <v>121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22</v>
      </c>
      <c r="D74" s="541">
        <v>5</v>
      </c>
      <c r="E74" s="541">
        <f t="shared" si="17"/>
        <v>110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591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15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136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21599.999999999996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68</v>
      </c>
      <c r="E78" s="541">
        <f t="shared" si="17"/>
        <v>0</v>
      </c>
      <c r="F78" s="654"/>
      <c r="G78" s="654"/>
      <c r="H78" s="672">
        <f>IF(F141=1,"-------",IF(F141=5,"-------",I133))</f>
        <v>3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12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32670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13</v>
      </c>
      <c r="U79" s="361">
        <f>MROUND(Table1134[العرض]/100,1)</f>
        <v>6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41808.000000000007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7</v>
      </c>
      <c r="V80" s="361">
        <v>125</v>
      </c>
      <c r="W80" s="361">
        <f>Table212136714[[#This Row],[الوزن المتري]]*Table212136714[[#This Row],[الطول]]*Table212136714[[#This Row],[العدد]]</f>
        <v>5250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13</v>
      </c>
      <c r="U86" s="639"/>
      <c r="V86" s="527">
        <v>250</v>
      </c>
      <c r="W86" s="361">
        <f>Table212136714[[#This Row],[الوزن المتري]]*Table212136714[[#This Row],[العدد]]</f>
        <v>3250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17190.45</v>
      </c>
      <c r="X87" s="635"/>
    </row>
    <row r="88" ht="18">
      <c r="A88" s="1031"/>
      <c r="B88" s="671" t="s">
        <v>424</v>
      </c>
      <c r="C88" s="671">
        <f>C72</f>
        <v>18</v>
      </c>
      <c r="D88" s="541">
        <v>50</v>
      </c>
      <c r="E88" s="541">
        <f t="shared" si="17"/>
        <v>900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131793.45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71686.921999999991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599</v>
      </c>
      <c r="M102" s="534" t="str">
        <f>K45</f>
        <v>Χ</v>
      </c>
      <c r="N102" s="1049">
        <f>L45</f>
        <v>572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>
        <f>Table1134[العرض]</f>
        <v>600</v>
      </c>
      <c r="E110" s="695" t="s">
        <v>164</v>
      </c>
      <c r="F110" s="696">
        <f>Table1134[الامتداد]</f>
        <v>600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4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16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4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5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3</v>
      </c>
      <c r="I130" s="698">
        <f>IF(K142=3,H130,IF(K142=1,H130-2,IF(K142=2,H130-1,IF(K142=4,H130+1,IF(K142=5,H130+2)))))</f>
        <v>3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9</v>
      </c>
      <c r="I131" s="698">
        <f>IF(L148=6,0,IF(L148=1,-5,IF(L148=2,-4,IF(L148=3,-3,IF(L148=4,-2,IF(L148=5,-1,IF(L148=7,1,IF(L148=8,2,IF(L148=9,3,IF(L148=10,4,IF(L148=11,5,)))))))))))+H131</f>
        <v>9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4</v>
      </c>
      <c r="I132" s="698">
        <f>IF(M148=6,0,IF(M148=1,-5,IF(M148=2,-4,IF(M148=3,-3,IF(M148=4,-2,IF(M148=5,-1,IF(M148=7,1,IF(M148=8,2,IF(M148=9,3,IF(M148=10,4,IF(M148=11,5,)))))))))))+H132</f>
        <v>4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3</v>
      </c>
      <c r="I133" s="698">
        <f>IF(N142=3,H133,IF(N142=1,H133-2,IF(N142=2,H133-1,IF(N142=4,H133+1,IF(N142=5,H133+2)))))</f>
        <v>3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>
        <f>D110</f>
        <v>600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>
        <f>G242</f>
        <v>600</v>
      </c>
      <c r="D153" s="708">
        <f>IF(C152&gt;2400,8,IF(C152&gt;2000,7,IF(C152&gt;1600,6,IF(C152&gt;1200,5,IF(C152&gt;800,4,IF(C152&gt;400,3,2))))))</f>
        <v>3</v>
      </c>
      <c r="E153" s="708"/>
      <c r="F153" s="708"/>
      <c r="G153" s="711"/>
      <c r="H153" s="705"/>
      <c r="I153" s="705"/>
      <c r="J153" s="1097" t="s">
        <v>560</v>
      </c>
      <c r="K153" s="1098"/>
      <c r="L153" s="725">
        <f>C153</f>
        <v>600</v>
      </c>
      <c r="M153" s="725" t="s">
        <v>561</v>
      </c>
      <c r="N153" s="725">
        <f>INT((L153-4)/25)+1</f>
        <v>24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>
        <f>C153</f>
        <v>600</v>
      </c>
      <c r="E157" s="720" t="s">
        <v>564</v>
      </c>
      <c r="F157" s="720">
        <f>I160</f>
        <v>9</v>
      </c>
      <c r="G157" s="720"/>
      <c r="H157" s="720"/>
      <c r="I157" s="721"/>
      <c r="J157" s="1086" t="s">
        <v>560</v>
      </c>
      <c r="K157" s="1087"/>
      <c r="L157" s="720">
        <f>C153</f>
        <v>600</v>
      </c>
      <c r="M157" s="720" t="s">
        <v>564</v>
      </c>
      <c r="N157" s="720">
        <f>Q160</f>
        <v>7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9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7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9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7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>
        <f>F110</f>
        <v>600</v>
      </c>
      <c r="F181" s="739">
        <f>F110</f>
        <v>600</v>
      </c>
      <c r="G181" s="740">
        <f>F110</f>
        <v>600</v>
      </c>
      <c r="H181" s="739">
        <f>F110</f>
        <v>600</v>
      </c>
      <c r="I181" s="741">
        <f>F110</f>
        <v>600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600</v>
      </c>
      <c r="M185" s="738">
        <f>IF(F142=1,F110-30,IF(F142=2,E186,IF(F142=3,F186,IF(F142=4,G186,IF(F142=5,H186,IF(F142=6,I186,"-----"))))))</f>
        <v>570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>
        <f>F110</f>
        <v>600</v>
      </c>
      <c r="F190" s="739">
        <f>F110</f>
        <v>600</v>
      </c>
      <c r="G190" s="739">
        <f>F110</f>
        <v>600</v>
      </c>
      <c r="H190" s="739">
        <f>F110</f>
        <v>600</v>
      </c>
      <c r="I190" s="741">
        <f>F110</f>
        <v>600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600</v>
      </c>
      <c r="M193" s="738">
        <f>IF(F142=1,F110-30,IF(F142=2,E195,IF(F142=3,F195,IF(F142=4,G195,IF(F142=5,H195,IF(F142=6,I195))))))</f>
        <v>570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600</v>
      </c>
      <c r="P194" s="748">
        <f>IF(B141=1,M185,IF(B141=3,M185,IF(B141=4,M202,IF(B141=2,M202+2,IF(B141=5,M193,"------")))))</f>
        <v>572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>
        <f>F110</f>
        <v>600</v>
      </c>
      <c r="F199" s="739">
        <f>F110</f>
        <v>600</v>
      </c>
      <c r="G199" s="739">
        <f>F110</f>
        <v>600</v>
      </c>
      <c r="H199" s="739">
        <f>F110</f>
        <v>600</v>
      </c>
      <c r="I199" s="741">
        <f>F110</f>
        <v>600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600</v>
      </c>
      <c r="M202" s="738">
        <f>IF(F142=1,F110-30,IF(F142=2,E204,IF(F142=3,F204,IF(F142=4,G204,IF(F142=5,H204,IF(F142=6,I204))))))</f>
        <v>570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>
        <f>D110</f>
        <v>600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>
        <f>F110</f>
        <v>600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4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9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4</v>
      </c>
      <c r="Q213" s="755"/>
      <c r="R213" s="635"/>
    </row>
    <row r="214" ht="18">
      <c r="A214" s="1031"/>
      <c r="B214" s="756" t="s">
        <v>594</v>
      </c>
      <c r="C214" s="757">
        <f>P213</f>
        <v>4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14</v>
      </c>
      <c r="D215" s="1099" t="s">
        <v>596</v>
      </c>
      <c r="E215" s="1099"/>
      <c r="F215" s="764">
        <f>ROUND(C215,0)</f>
        <v>14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3.5</v>
      </c>
      <c r="D216" s="1099" t="s">
        <v>596</v>
      </c>
      <c r="E216" s="1099"/>
      <c r="F216" s="764">
        <f>ROUND(C216,0)</f>
        <v>4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16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>
        <f>F110</f>
        <v>600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568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565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568</v>
      </c>
      <c r="E234" s="774"/>
      <c r="F234" s="774"/>
      <c r="G234" s="774">
        <f>IF(B141=1,D232,IF(B141=2,D233,IF(B141=3,D234,IF(B141=4,D235,IF(B141=5,D236)))))</f>
        <v>565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568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>
        <f>IF(O142=1,C228,IF(O142=2,C228-11,"-------"))</f>
        <v>600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>
        <f>IF(O142=3,C228-5,IF(O142=1,C228,IF(O142=4,C228,"-------")))</f>
        <v>600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>
        <f>IF(O142=1,C228,"-------")</f>
        <v>600</v>
      </c>
      <c r="E242" s="774"/>
      <c r="F242" s="774"/>
      <c r="G242" s="774">
        <f>IF(B141=1,D240,IF(B141=2,D241,IF(B141=3,D242,IF(B141=4,D243,IF(B141=5,#REF!)))))</f>
        <v>600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>
        <f>C228</f>
        <v>600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224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462</v>
      </c>
      <c r="AI46" s="787">
        <v>600</v>
      </c>
      <c r="AJ46" s="787">
        <v>600</v>
      </c>
      <c r="AK46" s="787" t="s">
        <v>230</v>
      </c>
      <c r="AL46" s="787" t="s">
        <v>234</v>
      </c>
      <c r="AM46" s="788">
        <f>'PERG. CS.'!G3</f>
        <v>164741.8125</v>
      </c>
      <c r="AN46" s="788">
        <f>AM46/(Table115[[#This Row],[العرض]]*Table115[[#This Row],[الامتداد]]/10000)</f>
        <v>4576.161458333333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690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66"/>
      <c r="AJ48" s="866"/>
      <c r="AK48" s="866"/>
      <c r="AL48" s="867"/>
      <c r="AM48" s="868" t="str">
        <f>Table115[المنتج]</f>
        <v>MESH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51" t="s">
        <v>692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51" t="s">
        <v>693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694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53" t="s">
        <v>695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697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698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699</v>
      </c>
      <c r="B1" s="888"/>
      <c r="C1" s="598" t="s">
        <v>700</v>
      </c>
      <c r="D1" s="597" t="str">
        <f>تسعير!AJ28</f>
        <v>مصري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703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699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774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778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46163.489697604164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46163.489697731478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46163.489697789351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46163.489697789351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13158.6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10122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18219.600000000002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46163.489697789351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46163.489697789351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46163.489697974539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46163.489697974539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