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<sst xmlns="http://schemas.openxmlformats.org/spreadsheetml/2006/main" count="595" uniqueCount="595">
  <si>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</si>
  <si>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</si>
  <si>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</si>
  <si>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</si>
  <si>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</si>
  <si>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</si>
  <si>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</si>
  <si>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</si>
  <si>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</si>
  <si>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</si>
  <si>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</si>
  <si>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</si>
  <si>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</si>
  <si>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</si>
  <si>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</si>
  <si>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</si>
  <si>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</si>
  <si>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</si>
  <si>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</si>
  <si>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</si>
  <si>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</si>
  <si>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</si>
  <si>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</si>
  <si>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</si>
  <si>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</si>
  <si>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</si>
  <si>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</si>
  <si>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</si>
  <si>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</si>
  <si>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</si>
  <si>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</si>
  <si>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</si>
  <si>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</si>
  <si>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</si>
  <si>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</si>
  <si>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</si>
  <si>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</si>
  <si>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</si>
  <si>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</si>
  <si>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</si>
  <si>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</si>
  <si>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</si>
  <si>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</si>
  <si>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</si>
  <si>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</si>
  <si>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</si>
  <si>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</si>
  <si>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</si>
  <si>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</si>
  <si>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</si>
  <si>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</si>
  <si>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</si>
  <si>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</si>
  <si>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</si>
  <si>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</si>
  <si>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</si>
  <si>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</si>
  <si>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</si>
  <si>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</si>
  <si>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</si>
  <si>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</si>
  <si>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</si>
  <si>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</si>
  <si>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</si>
  <si>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</si>
  <si>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</si>
  <si>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</si>
  <si>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</si>
  <si>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</si>
  <si>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</si>
  <si>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</si>
  <si>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</si>
  <si>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</si>
  <si>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</si>
  <si>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</si>
  <si>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</si>
  <si>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</si>
  <si>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</si>
  <si>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</si>
  <si>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</si>
  <si>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</si>
  <si>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</si>
  <si>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</si>
  <si>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</si>
  <si>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</si>
  <si>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</si>
  <si>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</si>
  <si>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</si>
  <si>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</si>
  <si>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</si>
  <si>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</si>
  <si>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</si>
  <si>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</si>
  <si>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</si>
  <si>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</si>
  <si>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</si>
  <si>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</si>
  <si>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</si>
  <si>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</si>
  <si>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</si>
  <si>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</si>
  <si>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</si>
  <si>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</si>
  <si>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</si>
  <si>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</si>
  <si>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</si>
  <si>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</si>
  <si>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</si>
  <si>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</si>
  <si>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</si>
  <si>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</si>
  <si>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</si>
  <si>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</si>
  <si>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</si>
  <si>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</si>
  <si>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</si>
  <si>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</si>
  <si>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</si>
  <si>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</si>
  <si>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</si>
  <si>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</si>
  <si>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</si>
  <si>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</si>
  <si>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</si>
  <si>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</si>
  <si>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</si>
  <si>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</si>
  <si>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</si>
  <si>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</si>
  <si>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</si>
  <si>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</si>
  <si>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</si>
  <si>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</si>
  <si>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</si>
  <si>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</si>
  <si>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</si>
  <si>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</si>
  <si>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</si>
  <si>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</si>
  <si>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</si>
  <si>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</si>
  <si>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</si>
  <si>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</si>
  <si>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</si>
  <si>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</si>
  <si>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</si>
  <si>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</si>
  <si>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</si>
  <si>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</si>
  <si>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</si>
  <si>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</si>
  <si>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</si>
  <si>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</si>
  <si>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</si>
  <si>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</si>
  <si>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</si>
  <si>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</si>
  <si>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</si>
  <si>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</si>
  <si>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</si>
  <si>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</si>
  <si>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</si>
  <si>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</si>
  <si>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</si>
  <si>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</si>
  <si>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</si>
  <si>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</si>
  <si>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</si>
  <si>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</si>
  <si>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</si>
  <si>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</si>
  <si>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</si>
  <si>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</si>
  <si>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</si>
  <si>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</si>
  <si>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</si>
  <si>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</si>
  <si>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</si>
  <si>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</si>
  <si>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</si>
  <si>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</si>
  <si>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مصري</t>
  </si>
  <si>
    <t>no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</si>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</sst>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44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1212"/>
    <tableColumn id="3" name="الوحدة" dataDxfId="121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81" totalsRowDxfId="1382"/>
    <tableColumn id="2" name="عدد" dataDxfId="1386" totalsRowDxfId="138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BP28</calculatedColumnFormula>
    </tableColumn>
    <tableColumn id="8" name="اجمالي" totalsRowFunction="sum" dataDxfId="1390" totalsRowDxfId="1408">
      <calculatedColumnFormula>BH98*BP99</calculatedColumnFormula>
    </tableColumn>
    <tableColumn id="9" name="%" totalsRowFunction="custom" totalsRowDxfId="140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81" totalsRowDxfId="1382"/>
    <tableColumn id="2" name="عدد" dataDxfId="1386" totalsRowDxfId="1382">
      <calculatedColumnFormula>IF((#REF!="بالتات"),0,4)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430" totalsRowDxfId="1407">
      <calculatedColumnFormula>Sheet2!AW26</calculatedColumnFormula>
    </tableColumn>
    <tableColumn id="8" name="اجمالي" totalsRowFunction="sum" dataDxfId="1390" totalsRowDxfId="1408">
      <calculatedColumnFormula>BH84*BP84</calculatedColumnFormula>
    </tableColumn>
    <tableColumn id="9" name="%" totalsRowFunction="custom" totalsRowDxfId="140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81"/>
    <tableColumn id="2" name="عدد" totalsRowFunction="sum" dataDxfId="1381">
      <calculatedColumnFormula>BH90*4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(Table16627394105[[#This Row],[Column1]]*Table16627394105[[#This Row],[Column2]])*Table16627394105[[#This Row],[عدد]]</calculatedColumnFormula>
    </tableColumn>
    <tableColumn id="4" name="الوحده" dataDxfId="1381"/>
    <tableColumn id="5" name="الوزن" totalsRowFunction="custom">
      <totalsRowFormula>(BN93*BH93)+(BH94*BN94)</totalsRowFormula>
    </tableColumn>
    <tableColumn id="6" name="سعر الكيلو" dataDxfId="1386"/>
    <tableColumn id="7" name="سعر الشبك " dataDxfId="1392">
      <calculatedColumnFormula>BN92*$S$2/1000</calculatedColumnFormula>
    </tableColumn>
    <tableColumn id="8" name="اجمالي" totalsRowFunction="sum" dataDxfId="1390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81"/>
    <tableColumn id="2" name="عدد" dataDxfId="1414">
      <calculatedColumnFormula>IF((تسعير!$AU$14="بالتات"),0,BH119-2)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تسعير!$BE$44</calculatedColumnFormula>
    </tableColumn>
    <tableColumn id="10" name="شيفت العمل" dataDxfId="1381"/>
    <tableColumn id="12" name="Column12" totalsRowFunction="sum" dataDxfId="1398">
      <calculatedColumnFormula>SUMIF(Table17697899110[Column1],Table1612677697108[[#This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Table1612677697108[[#This Row],[Column12]]</calculatedColumnFormula>
    </tableColumn>
    <tableColumn id="8" name="اجمالي" totalsRowFunction="sum" dataDxfId="1390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97"/>
    <tableColumn id="2" name="عدد" dataDxfId="1414">
      <calculatedColumnFormula>IF((BL133="الاسكندرية"),0.25,0.1)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BQ116</calculatedColumnFormula>
    </tableColumn>
    <tableColumn id="8" name="اجمالي" totalsRowFunction="sum" dataDxfId="1390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IF((BL133="المقطم"),0.3,IF((BL133="التجمع"),0.3,IF((BL133="الشيخ زايد"),0.3,IF((BL133="الاسكندرية"),0.5,0.35))))</calculatedColumnFormula>
    </tableColumn>
    <tableColumn id="2" name="Column2" dataDxfId="1414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81"/>
    <tableColumn id="2" name="عدد" dataDxfId="1381">
      <calculatedColumnFormula>IF(OR((BI69="B11"),(BI69="B12"),(BI69="B21"),(BI69="B22"),(BI69="B31"),(BI69="B32")),3,0)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(Table15880101112[[#This Row],[Column1]]+Table15880101112[[#This Row],[Column2]])*12*Table15880101112[[#This Row],[عدد]]</calculatedColumnFormula>
    </tableColumn>
    <tableColumn id="4" name="الوحده" dataDxfId="1381"/>
    <tableColumn id="5" name="الوزن" totalsRowFunction="custom">
      <totalsRowFormula>(BN76*BH76)+(BN77*BH77)+(BN78*BH78)+(BN79*BH79)</totalsRowFormula>
    </tableColumn>
    <tableColumn id="6" name="اجمالي المسطح" totalsRowFunction="sum" dataDxfId="1386">
      <calculatedColumnFormula>Table15880101112[[#This Row],[المسطح]]*Table15880101112[[#This Row],[عدد]]</calculatedColumnFormula>
    </tableColumn>
    <tableColumn id="7" name="سعر الشبك " dataDxfId="1435">
      <calculatedColumnFormula>BN76*$S$2/1000</calculatedColumnFormula>
    </tableColumn>
    <tableColumn id="8" name="اجمالي" totalsRowFunction="sum" dataDxfId="1390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81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1213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90">
      <calculatedColumnFormula>Sheet2!B31</calculatedColumnFormula>
    </tableColumn>
    <tableColumn id="8" name="اجمالي" totalsRowFunction="sum" dataDxfId="1390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436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436" totalsRowDxfId="1242"/>
    <tableColumn id="4" name="Column2" dataDxfId="1436" totalsRowDxfId="1437"/>
    <tableColumn id="5" name="wt/m" dataDxfId="1436" totalsRowDxfId="1437"/>
    <tableColumn id="6" name="price" totalsRowFunction="sum" dataDxfId="1436" totalsRowDxfId="1437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1245" totalsRowDxfId="1243"/>
    <tableColumn id="2" name="عدد" totalsRowFunction="custom" dataDxfId="1245" totalsRowDxfId="1244">
      <totalsRowFormula>(Table80102114[[#Totals],[price]]*1.1)/(F1*D1/10000)</totalsRowFormula>
    </tableColumn>
    <tableColumn id="3" name="طول" dataDxfId="1438" totalsRowDxfId="1437"/>
    <tableColumn id="4" name="Column2" dataDxfId="1245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439" totalsRowDxfId="1440">
  <autoFilter ref="A75:F96"/>
  <tableColumns count="6">
    <tableColumn id="1" name="Column1" totalsRowLabel="Total" dataDxfId="1439" totalsRowDxfId="1441"/>
    <tableColumn id="2" name="عدد" totalsRowFunction="custom" dataDxfId="1439" totalsRowDxfId="1442">
      <totalsRowFormula>(Table80102114115[[#Totals],[price]]*1.1)/(F74*D74/10000)</totalsRowFormula>
    </tableColumn>
    <tableColumn id="3" name="طول" dataDxfId="1439" totalsRowDxfId="1437"/>
    <tableColumn id="4" name="Column2" dataDxfId="1439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81"/>
    <tableColumn id="2" name="عدد" dataDxfId="1381">
      <calculatedColumnFormula>IF((F74="الاسكندرية"),0.25,0.1)</calculatedColumnFormula>
    </tableColumn>
    <tableColumn id="3" name="بيان برجولا رويال" totalsRowLabel="Total" dataDxfId="1381"/>
    <tableColumn id="12" name="Column12" totalsRowFunction="sum" dataDxfId="1391"/>
    <tableColumn id="5" name="Column1" dataDxfId="1381"/>
    <tableColumn id="11" name="العرض" dataDxfId="1213"/>
    <tableColumn id="10" name="الامتداد" dataDxfId="1386"/>
    <tableColumn id="4" name="سعر المتر" dataDxfId="1214"/>
    <tableColumn id="6" name="Column2" dataDxfId="106"/>
    <tableColumn id="7" name="سعر البرجولا كاملة" dataDxfId="1392">
      <calculatedColumnFormula>(K57)</calculatedColumnFormula>
    </tableColumn>
    <tableColumn id="8" name="اجمالي" totalsRowFunction="sum" dataDxfId="1390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81" totalsRowDxfId="1382"/>
    <tableColumn id="2" name="عدد" dataDxfId="77" totalsRowDxfId="1382">
      <calculatedColumnFormula>B60</calculatedColumnFormula>
    </tableColumn>
    <tableColumn id="3" name="بيان" totalsRowLabel="Total" dataDxfId="107" totalsRowDxfId="1382"/>
    <tableColumn id="5" name="اليومية / الاجرة" dataDxfId="1215" totalsRowDxfId="1382"/>
    <tableColumn id="6" name="بدل الوجبة" dataDxfId="1216" totalsRowDxfId="1382"/>
    <tableColumn id="11" name="موقع العمل" dataDxfId="1393" totalsRowDxfId="1382">
      <calculatedColumnFormula>تسعير!$T$4</calculatedColumnFormula>
    </tableColumn>
    <tableColumn id="10" name="شيفت العمل" dataDxfId="1381" totalsRowDxfId="1382"/>
    <tableColumn id="12" name="Column12" totalsRowFunction="sum" dataDxfId="1210" totalsRowDxfId="1394">
      <calculatedColumnFormula>SUMIF(Table17[Column1],Table1612[[#This Row],[موقع العمل]],$T$2:$T$20)</calculatedColumnFormula>
    </tableColumn>
    <tableColumn id="4" name="عدد الايام" dataDxfId="102" totalsRowDxfId="1382"/>
    <tableColumn id="7" name="اجمالي التكلفة للعامل" dataDxfId="101" totalsRowDxfId="1206">
      <calculatedColumnFormula>Table1612[[#This Row],[Column12]]</calculatedColumnFormula>
    </tableColumn>
    <tableColumn id="8" name="اجمالي" totalsRowFunction="sum" dataDxfId="1390" totalsRowDxfId="1208">
      <calculatedColumnFormula>B63*J63</calculatedColumnFormula>
    </tableColumn>
    <tableColumn id="9" name="%" totalsRowFunction="custom" totalsRowDxfId="120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1217"/>
    <tableColumn id="3" name="داخلي" dataDxfId="1217"/>
    <tableColumn id="4" name="بدل الوجبة" dataDxfId="1395"/>
    <tableColumn id="5" name="دبابة" dataDxfId="1217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13"/>
    <tableColumn id="4" name="Column22" dataDxfId="1397"/>
    <tableColumn id="5" name="Column23" dataDxfId="1397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9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81"/>
    <tableColumn id="2" name="عدد" dataDxfId="138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(Table118[[#This Row],[Column1]]+Table118[[#This Row],[Column2]])*12*Table118[[#This Row],[عدد]]</calculatedColumnFormula>
    </tableColumn>
    <tableColumn id="4" name="الوحده" dataDxfId="1381"/>
    <tableColumn id="5" name="الوزن" dataDxfId="1381"/>
    <tableColumn id="6" name="اجمالي الميزان" totalsRowFunction="sum" dataDxfId="1386">
      <calculatedColumnFormula>Table118[[#This Row],[الوزن]]*Table118[[#This Row],[عدد]]</calculatedColumnFormula>
    </tableColumn>
    <tableColumn id="7" name="سعر الشبك " dataDxfId="1392">
      <calculatedColumnFormula>H6*$H$2/1000</calculatedColumnFormula>
    </tableColumn>
    <tableColumn id="8" name="اجمالي" totalsRowFunction="sum" dataDxfId="1390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81"/>
    <tableColumn id="2" name="عدد" dataDxfId="138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81"/>
    <tableColumn id="4" name="الوحده" totalsRowLabel="total" dataDxfId="1381"/>
    <tableColumn id="5" name="الوزن" dataDxfId="138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81">
      <calculatedColumnFormula>Sheet2!B7</calculatedColumnFormula>
    </tableColumn>
    <tableColumn id="7" name="سعر الشبك " dataDxfId="1392"/>
    <tableColumn id="8" name="اجمالي" totalsRowFunction="sum" dataDxfId="1390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81"/>
    <tableColumn id="2" name="عدد" dataDxfId="1381">
      <calculatedColumnFormula>IF((تسعير!X30&lt;800),0,IF(AND((تسعير!X30&gt;800),(600&gt;=تسعير!AA32)),1,0))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6">
      <calculatedColumnFormula>(Table1421[[#This Row],[Column1]]+Table1421[[#This Row],[Column2]])*12*Table1421[[#This Row],[عدد]]</calculatedColumnFormula>
    </tableColumn>
    <tableColumn id="4" name="الوحده" dataDxfId="1381"/>
    <tableColumn id="5" name="الوزن" dataDxfId="1381"/>
    <tableColumn id="6" name="سعر الكيلو" totalsRowFunction="sum" dataDxfId="1386">
      <calculatedColumnFormula>Table1421[[#This Row],[الوزن]]*Table1421[[#This Row],[عدد]]</calculatedColumnFormula>
    </tableColumn>
    <tableColumn id="7" name="سعر الشبك " dataDxfId="1392">
      <calculatedColumnFormula>H13*$I$2/1000</calculatedColumnFormula>
    </tableColumn>
    <tableColumn id="8" name="اجمالي" totalsRowFunction="sum" dataDxfId="1390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81"/>
    <tableColumn id="2" name="عدد" dataDxfId="138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Sheet2!B22</calculatedColumnFormula>
    </tableColumn>
    <tableColumn id="8" name="اجمالي" totalsRowFunction="sum" dataDxfId="1390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81"/>
    <tableColumn id="2" name="عدد" totalsRowFunction="count" dataDxfId="1386">
      <calculatedColumnFormula>B30*4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(Table1624[[#This Row],[Column1]]*Table1624[[#This Row],[Column2]])*Table1624[[#This Row],[عدد]]</calculatedColumnFormula>
    </tableColumn>
    <tableColumn id="4" name="الوحده" dataDxfId="1381"/>
    <tableColumn id="5" name="الوزن" totalsRowFunction="custom">
      <totalsRowFormula>H31*B31+H32*B32</totalsRowFormula>
    </tableColumn>
    <tableColumn id="6" name="سعر الكيلو" dataDxfId="1386">
      <calculatedColumnFormula>$H$2/1000</calculatedColumnFormula>
    </tableColumn>
    <tableColumn id="7" name="سعر الشبك " dataDxfId="1392">
      <calculatedColumnFormula>H31*$H$2/1000</calculatedColumnFormula>
    </tableColumn>
    <tableColumn id="8" name="اجمالي" totalsRowFunction="sum" dataDxfId="1390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99"/>
    <tableColumn id="2" name="المعدل" dataDxfId="1212"/>
    <tableColumn id="3" name="الوحدة" dataDxfId="1400"/>
    <tableColumn id="4" name="Column4" dataDxfId="1399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81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97"/>
    <tableColumn id="11" name="Column2" dataDxfId="1397"/>
    <tableColumn id="10" name="Column1" dataDxfId="1401"/>
    <tableColumn id="12" name="Column12" totalsRowFunction="sum" dataDxfId="1402"/>
    <tableColumn id="4" name="الوحده" dataDxfId="1221"/>
    <tableColumn id="5" name="الوزن" dataDxfId="1222"/>
    <tableColumn id="6" name="سعر الكيلو" dataDxfId="1214"/>
    <tableColumn id="7" name="سعر الشبك " dataDxfId="1223">
      <calculatedColumnFormula>Sheet2!B31</calculatedColumnFormula>
    </tableColumn>
    <tableColumn id="8" name="اجمالي" totalsRowFunction="sum" dataDxfId="1390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81"/>
    <tableColumn id="2" name="عدد" dataDxfId="1381">
      <calculatedColumnFormula>IF((F79="الاسكندرية"),0.25,0.1)</calculatedColumnFormula>
    </tableColumn>
    <tableColumn id="3" name="بيان برجولا رويال" totalsRowLabel="Total" dataDxfId="1381"/>
    <tableColumn id="12" name="Column12" totalsRowFunction="sum" dataDxfId="1398"/>
    <tableColumn id="5" name="Column1" dataDxfId="1381"/>
    <tableColumn id="11" name="العرض" dataDxfId="1397"/>
    <tableColumn id="10" name="الامتداد" dataDxfId="1386"/>
    <tableColumn id="4" name="سعر المتر" dataDxfId="1403"/>
    <tableColumn id="6" name="Column2" dataDxfId="1216"/>
    <tableColumn id="7" name="سعر البرجولا كاملة" dataDxfId="1392">
      <calculatedColumnFormula>K58</calculatedColumnFormula>
    </tableColumn>
    <tableColumn id="8" name="اجمالي" totalsRowFunction="sum" dataDxfId="1390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81" totalsRowDxfId="1382"/>
    <tableColumn id="2" name="عدد" dataDxfId="1404" totalsRowDxfId="1382">
      <calculatedColumnFormula>B65</calculatedColumnFormula>
    </tableColumn>
    <tableColumn id="3" name="بيان" totalsRowLabel="Total" dataDxfId="1215" totalsRowDxfId="1382"/>
    <tableColumn id="5" name="اليومية / الاجرة" dataDxfId="1405" totalsRowDxfId="1382"/>
    <tableColumn id="6" name="بدل الوجبة" dataDxfId="1406" totalsRowDxfId="1382"/>
    <tableColumn id="11" name="موقع العمل" dataDxfId="1397" totalsRowDxfId="1382">
      <calculatedColumnFormula>تسعير!$T$24</calculatedColumnFormula>
    </tableColumn>
    <tableColumn id="10" name="شيفت العمل" dataDxfId="1381" totalsRowDxfId="1382"/>
    <tableColumn id="12" name="Column12" totalsRowFunction="sum" dataDxfId="1398" totalsRowDxfId="1211">
      <calculatedColumnFormula>SUMIF(Table1731[Column1],Table161229[[#This Row],[موقع العمل]],$T$2:$T$26)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Table161229[[#This Row],[Column12]]</calculatedColumnFormula>
    </tableColumn>
    <tableColumn id="8" name="اجمالي" totalsRowFunction="sum" dataDxfId="1390" totalsRowDxfId="1408">
      <calculatedColumnFormula>B68*J68</calculatedColumnFormula>
    </tableColumn>
    <tableColumn id="9" name="%" totalsRowFunction="custom" totalsRowDxfId="1409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97" totalsRowDxfId="1382"/>
    <tableColumn id="2" name="عدد" dataDxfId="1393" totalsRowDxfId="1382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94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223" totalsRowDxfId="1407"/>
    <tableColumn id="8" name="اجمالي" totalsRowFunction="sum" dataDxfId="1390" totalsRowDxfId="1408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1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96" totalsRowDxfId="12"/>
    <tableColumn id="6" name="الطول بالمتر" dataDxfId="1396" totalsRowDxfId="1227"/>
    <tableColumn id="5" name="وزن المتر " dataDxfId="1396" totalsRowDxfId="1227"/>
    <tableColumn id="4" name="سعر الكيلو" dataDxfId="1396" totalsRowDxfId="1411"/>
    <tableColumn id="3" name="اجمالي عدد " totalsRowFunction="custom" totalsRowDxfId="1227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(Table1662[[#This Row],[Column1]]*Table1662[[#This Row],[Column2]])*Table1662[[#This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1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400"/>
    <tableColumn id="2" name="Column2" dataDxfId="1399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IF((تسعير!$AU$14="بالتات"),0,M52-2)</calculatedColumnFormula>
    </tableColumn>
    <tableColumn id="3" name="بيان" totalsRowLabel="Total" dataDxfId="1215" totalsRowDxfId="1382"/>
    <tableColumn id="5" name="اليومية / الاجرة" dataDxfId="1415" totalsRowDxfId="1382"/>
    <tableColumn id="6" name="بدل الوجبة" dataDxfId="1216" totalsRowDxfId="1382"/>
    <tableColumn id="11" name="موقع العمل" dataDxfId="1397" totalsRowDxfId="1382">
      <calculatedColumnFormula>تسعير!$AT$4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SUMIF(Table1769[Column1],Table161267[[#This Row],[موقع العمل]],$AE$2:$AE$8)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Table161267[[#This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416">
      <calculatedColumnFormula>V48</calculatedColumnFormula>
    </tableColumn>
    <tableColumn id="8" name="اجمالي" totalsRowFunction="sum" dataDxfId="1390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IF((N2="A1"),2,IF((N2="A2"),3,IF((N2="B1"),2.5,IF((N2="B2"),3,0))))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(Table158[[#This Row],[Column1]]+Table158[[#This Row],[Column2]])*12*Table158[[#This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totalsRowFunction="sum" dataDxfId="1386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96" totalsRowDxfId="1412"/>
    <tableColumn id="6" name="الطول بالمتر" dataDxfId="1396" totalsRowDxfId="1412"/>
    <tableColumn id="5" name="وزن المتر " dataDxfId="1396" totalsRowDxfId="1412"/>
    <tableColumn id="4" name="سعر الكيلو" dataDxfId="1396" totalsRowDxfId="1412"/>
    <tableColumn id="3" name="اجمالي عدد " totalsRowFunction="custom" totalsRowDxfId="1412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(Table166241[[#This Row],[Column1]]*Table166241[[#This Row],[Column2]])*Table166241[[#This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400"/>
    <tableColumn id="2" name="المعدل" dataDxfId="1400"/>
    <tableColumn id="3" name="الوحدة" dataDxfId="1400"/>
    <tableColumn id="4" name="Column4" dataDxfId="121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IF((تسعير!$BF$14="بالتات"),0,M52-2)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تسعير!$BE$4</calculatedColumnFormula>
    </tableColumn>
    <tableColumn id="10" name="شيفت العمل" dataDxfId="1381" totalsRowDxfId="1382"/>
    <tableColumn id="12" name="Column12" totalsRowFunction="sum" dataDxfId="1398" totalsRowDxfId="1410"/>
    <tableColumn id="4" name="عدد الايام" dataDxfId="1418" totalsRowDxfId="1382"/>
    <tableColumn id="7" name="اجمالي التكلفة للعامل" dataDxfId="1419" totalsRowDxfId="1407">
      <calculatedColumnFormula>Table16126744[[#This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223">
      <calculatedColumnFormula>V48</calculatedColumnFormula>
    </tableColumn>
    <tableColumn id="8" name="اجمالي" totalsRowFunction="sum" dataDxfId="1390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96"/>
    <tableColumn id="2" name="خارجي" dataDxfId="1396"/>
    <tableColumn id="3" name="داخلي" dataDxfId="1396"/>
    <tableColumn id="4" name="بدل الوجبة" dataDxfId="1396"/>
    <tableColumn id="5" name="دبابة" dataDxfId="1396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420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IF((N2="c1"),3,IF((N2="c2"),4,IF((N2="d1"),4,IF((N2="d2"),5,0))))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(Table15855[[#This Row],[Column1]]+Table15855[[#This Row],[Column2]])*12*Table15855[[#This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dataDxfId="1386"/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96"/>
    <tableColumn id="2" name="المقاس" dataDxfId="1396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02" totalsRowDxfId="1203"/>
    <tableColumn id="11" name="Column2" dataDxfId="1379" totalsRowDxfId="1380"/>
    <tableColumn id="10" name="Column1" dataDxfId="1202" totalsRowDxfId="1203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1381" totalsRowDxfId="1382"/>
    <tableColumn id="5" name="الوزن" totalsRowFunction="custom" totalsRowDxfId="1382">
      <totalsRowFormula>(H6*B6)+(H8*B8)+(H7*B7)</totalsRowFormula>
    </tableColumn>
    <tableColumn id="6" name="مسطح" dataDxfId="69" totalsRowDxfId="1382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1396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96" totalsRowDxfId="650"/>
    <tableColumn id="2" name="عدد/الشمسية" dataDxfId="649" totalsRowDxfId="646"/>
    <tableColumn id="3" name="سعر الوحدة" dataDxfId="1396" totalsRowDxfId="1232"/>
    <tableColumn id="4" name="قيمة" totalsRowFunction="sum" dataDxfId="1396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96"/>
    <tableColumn id="2" name="Column2" dataDxfId="1396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139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396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96" totalsRowDxfId="1410"/>
    <tableColumn id="2" name="عدد/الشمسية" dataDxfId="626" totalsRowDxfId="1410"/>
    <tableColumn id="3" name="سعر الوحدة" dataDxfId="1396" totalsRowDxfId="1410"/>
    <tableColumn id="4" name="قيمة" totalsRowFunction="sum" dataDxfId="1396" totalsRowDxfId="141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81" totalsRowDxfId="1382"/>
    <tableColumn id="2" name="عدد" dataDxfId="1379" totalsRowDxfId="138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96"/>
    <tableColumn id="2" name="Column2" dataDxfId="139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36"/>
    <tableColumn id="2" name="الناتج" dataDxfId="611"/>
    <tableColumn id="3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414" totalsRowDxfId="1382">
      <calculatedColumnFormula>I28</calculatedColumnFormula>
    </tableColumn>
    <tableColumn id="3" name="بيان" totalsRowLabel="Total" dataDxfId="55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تسعير!$T$45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SUMIF(Table17[Column1],Table161243[[#This Row],[موقع العمل]],Table17[الاقامة])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Table161243[[#This Row],[Column12]]</calculatedColumnFormula>
    </tableColumn>
    <tableColumn id="8" name="اجمالي" totalsRowFunction="sum" dataDxfId="1390" totalsRowDxfId="1408">
      <calculatedColumnFormula>I31*Q31</calculatedColumnFormula>
    </tableColumn>
    <tableColumn id="9" name="%" totalsRowFunction="custom" totalsRowDxfId="140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414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423" totalsRowDxfId="1424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414" totalsRowDxfId="1382">
      <calculatedColumnFormula>I61</calculatedColumnFormula>
    </tableColumn>
    <tableColumn id="3" name="بيان" totalsRowLabel="Total" dataDxfId="1240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تسعير!$T$63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SUMIF(Table17[Column1],Table16124360[[#This Row],[موقع العمل]],Table17[الاقامة])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Table16124360[[#This Row],[Column12]]</calculatedColumnFormula>
    </tableColumn>
    <tableColumn id="8" name="اجمالي" totalsRowFunction="sum" dataDxfId="1390" totalsRowDxfId="1408">
      <calculatedColumnFormula>I64*Q64</calculatedColumnFormula>
    </tableColumn>
    <tableColumn id="9" name="%" totalsRowFunction="custom" totalsRowDxfId="140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414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M28*U28</calculatedColumnFormula>
    </tableColumn>
    <tableColumn id="9" name="%" totalsRowFunction="custom" totalsRowDxfId="140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81"/>
    <tableColumn id="2" name="عدد" dataDxfId="1381">
      <calculatedColumnFormula>IF((تسعير!X7&lt;800),0,IF(AND((تسعير!X7&gt;800),(600&gt;=تسعير!AA9)),1,0))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3">
      <calculatedColumnFormula>(Table14[[#This Row],[Column1]]+Table14[[#This Row],[Column2]])*12*Table14[[#This Row],[عدد]]</calculatedColumnFormula>
    </tableColumn>
    <tableColumn id="4" name="الوحده" dataDxfId="1381"/>
    <tableColumn id="5" name="الوزن" totalsRowFunction="custom">
      <totalsRowFormula>H12*B12+H13*B13</totalsRowFormula>
    </tableColumn>
    <tableColumn id="6" name="مسطح" dataDxfId="1379">
      <calculatedColumnFormula>Table14[[#This Row],[Column12]]*Table14[[#This Row],[عدد]]</calculatedColumnFormula>
    </tableColumn>
    <tableColumn id="7" name="سعر الشبك " dataDxfId="1205">
      <calculatedColumnFormula>H12*$I$2/1000</calculatedColumnFormula>
    </tableColumn>
    <tableColumn id="8" name="اجمالي" totalsRowFunction="sum" dataDxfId="120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(Table166273[[#This Row],[Column1]]*Table166273[[#This Row],[Column2]])*Table166273[[#This Row],[عدد]]</calculatedColumnFormula>
    </tableColumn>
    <tableColumn id="4" name="الوحده" dataDxfId="1381"/>
    <tableColumn id="5" name="الوزن" totalsRowFunction="custom">
      <totalsRowFormula>(S23*M23)+(M24*S24)</totalsRowFormula>
    </tableColumn>
    <tableColumn id="6" name="سعر الكيلو" dataDxfId="1386"/>
    <tableColumn id="7" name="سعر الشبك " dataDxfId="1392">
      <calculatedColumnFormula>S22*$S$2/1000</calculatedColumnFormula>
    </tableColumn>
    <tableColumn id="8" name="اجمالي" totalsRowFunction="sum" dataDxfId="1390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IF((تسعير!$AU$14="بالتات"),0,M49-2)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تسعير!$AT$24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SUMIF(Table176978[Column1],Table16126776[[#This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Table16126776[[#This Row],[Column12]]</calculatedColumnFormula>
    </tableColumn>
    <tableColumn id="8" name="اجمالي" totalsRowFunction="sum" dataDxfId="1390" totalsRowDxfId="1408">
      <calculatedColumnFormula>M52*U52</calculatedColumnFormula>
    </tableColumn>
    <tableColumn id="9" name="%" totalsRowFunction="custom" totalsRowDxfId="140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97" totalsRowDxfId="1382"/>
    <tableColumn id="2" name="عدد" dataDxfId="1414" totalsRowDxfId="1382">
      <calculatedColumnFormula>IF((Q63="الاسكندرية"),0.25,0.1)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429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Table80102114[[#Totals],[price]]</calculatedColumnFormula>
    </tableColumn>
    <tableColumn id="8" name="اجمالي" totalsRowFunction="sum" dataDxfId="1390" totalsRowDxfId="1408">
      <calculatedColumnFormula>M47*Table16136877[[#This Row],[سعر الشبك ]]</calculatedColumnFormula>
    </tableColumn>
    <tableColumn id="9" name="%" totalsRowFunction="custom" totalsRowDxfId="140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IF((Q63="المقطم"),0.3,IF((Q63="التجمع"),0.3,IF((Q63="الشيخ زايد"),0.3,IF((Q63="الاسكندرية"),0.5,0.35))))</calculatedColumnFormula>
    </tableColumn>
    <tableColumn id="2" name="Column2" dataDxfId="1414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(Table15880[[#This Row],[Column1]]+Table15880[[#This Row],[Column2]])*12*Table15880[[#This Row],[عدد]]</calculatedColumnFormula>
    </tableColumn>
    <tableColumn id="4" name="الوحده" dataDxfId="1381"/>
    <tableColumn id="5" name="الوزن" totalsRowFunction="custom">
      <totalsRowFormula>(S6*M6)+(S7*M7)+(M8*S8)+(S9*M9)</totalsRowFormula>
    </tableColumn>
    <tableColumn id="6" name="اجمالي المسطح" totalsRowFunction="sum" dataDxfId="1386">
      <calculatedColumnFormula>Table15880[[#This Row],[المسطح]]*Table15880[[#This Row],[عدد]]</calculatedColumnFormula>
    </tableColumn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81" totalsRowDxfId="1382"/>
    <tableColumn id="2" name="عدد" dataDxfId="1386" totalsRowDxfId="138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M99*U100</calculatedColumnFormula>
    </tableColumn>
    <tableColumn id="9" name="%" totalsRowFunction="custom" totalsRowDxfId="140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81" totalsRowDxfId="1382"/>
    <tableColumn id="2" name="عدد" dataDxfId="1202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210" totalsRowDxfId="1211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84" totalsRowDxfId="1206">
      <calculatedColumnFormula>Sheet2!B22</calculatedColumnFormula>
    </tableColumn>
    <tableColumn id="8" name="اجمالي" totalsRowFunction="sum" dataDxfId="1385" totalsRowDxfId="1208">
      <calculatedColumnFormula>B17*J17</calculatedColumnFormula>
    </tableColumn>
    <tableColumn id="9" name="%" totalsRowFunction="custom" totalsRowDxfId="1209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81"/>
    <tableColumn id="2" name="عدد" dataDxfId="1386">
      <calculatedColumnFormula>IF((I70="بالتات"),0,4)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81"/>
    <tableColumn id="2" name="عدد" totalsRowFunction="sum" dataDxfId="1381">
      <calculatedColumnFormula>M91*4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(Table16627394[[#This Row],[Column1]]*Table16627394[[#This Row],[Column2]])*Table16627394[[#This Row],[عدد]]</calculatedColumnFormula>
    </tableColumn>
    <tableColumn id="4" name="الوحده" dataDxfId="1381"/>
    <tableColumn id="5" name="الوزن" totalsRowFunction="custom">
      <totalsRowFormula>(S94*M94)+(M95*S95)</totalsRowFormula>
    </tableColumn>
    <tableColumn id="6" name="سعر الكيلو" dataDxfId="1386"/>
    <tableColumn id="7" name="سعر الشبك " dataDxfId="1392">
      <calculatedColumnFormula>S93*$S$2/1000</calculatedColumnFormula>
    </tableColumn>
    <tableColumn id="8" name="اجمالي" totalsRowFunction="sum" dataDxfId="1390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IF((تسعير!$AU$14="بالتات"),0,M120-2)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تسعير!$AT$44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SUMIF(Table17697899[Column1],Table1612677697[[#This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Table1612677697[[#This Row],[Column12]]</calculatedColumnFormula>
    </tableColumn>
    <tableColumn id="8" name="اجمالي" totalsRowFunction="sum" dataDxfId="1390" totalsRowDxfId="1408">
      <calculatedColumnFormula>M123*U123</calculatedColumnFormula>
    </tableColumn>
    <tableColumn id="9" name="%" totalsRowFunction="custom" totalsRowDxfId="140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97" totalsRowDxfId="1382"/>
    <tableColumn id="2" name="عدد" dataDxfId="1414" totalsRowDxfId="1382">
      <calculatedColumnFormula>IF((Q134="الاسكندرية"),0.25,0.1)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228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F96</calculatedColumnFormula>
    </tableColumn>
    <tableColumn id="8" name="اجمالي" totalsRowFunction="sum" dataDxfId="1390" totalsRowDxfId="1408">
      <calculatedColumnFormula>M118*Table1613687798[[#This Row],[سعر الشبك ]]</calculatedColumnFormula>
    </tableColumn>
    <tableColumn id="9" name="%" totalsRowFunction="custom" totalsRowDxfId="140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IF((Q134="المقطم"),0.3,IF((Q134="التجمع"),0.3,IF((Q134="الشيخ زايد"),0.3,IF((Q134="الاسكندرية"),0.5,0.35))))</calculatedColumnFormula>
    </tableColumn>
    <tableColumn id="2" name="Column2" dataDxfId="1414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81"/>
    <tableColumn id="2" name="عدد" dataDxfId="1381">
      <calculatedColumnFormula>IF(OR((N70="B11"),(N70="B12"),(N70="B21"),(N70="B22"),(N70="B31"),(N70="B32")),3,0)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(Table15880101[[#This Row],[Column1]]+Table15880101[[#This Row],[Column2]])*12*Table15880101[[#This Row],[عدد]]</calculatedColumnFormula>
    </tableColumn>
    <tableColumn id="4" name="الوحده" dataDxfId="1381"/>
    <tableColumn id="5" name="الوزن" totalsRowFunction="custom">
      <totalsRowFormula>(S77*M77)+(S78*M78)+(M79*S79)+(S80*M80)</totalsRowFormula>
    </tableColumn>
    <tableColumn id="6" name="اجمالي المسطح" totalsRowFunction="sum" dataDxfId="1386">
      <calculatedColumnFormula>Table15880101[[#This Row],[المسطح]]*Table15880101[[#This Row],[عدد]]</calculatedColumnFormula>
    </tableColumn>
    <tableColumn id="7" name="سعر الشبك " dataDxfId="1431">
      <calculatedColumnFormula>S77*$S$2/1000</calculatedColumnFormula>
    </tableColumn>
    <tableColumn id="8" name="اجمالي" totalsRowFunction="sum" dataDxfId="1390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Sheet2!AW6</calculatedColumnFormula>
    </tableColumn>
    <tableColumn id="8" name="اجمالي" totalsRowFunction="sum" dataDxfId="1390" totalsRowDxfId="1408">
      <calculatedColumnFormula>BH28*BP28</calculatedColumnFormula>
    </tableColumn>
    <tableColumn id="9" name="%" totalsRowFunction="custom" totalsRowDxfId="140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81" totalsRowDxfId="1382"/>
    <tableColumn id="2" name="عدد" totalsRowFunction="count" dataDxfId="1381" totalsRowDxfId="1382">
      <calculatedColumnFormula>B29*4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totalsRowFunction="sum" dataDxfId="1210" totalsRowDxfId="1211">
      <calculatedColumnFormula>(Table16[[#This Row],[Column1]]*Table16[[#This Row],[Column2]])*Table16[[#This Row],[عدد]]</calculatedColumnFormula>
    </tableColumn>
    <tableColumn id="4" name="الوحده" dataDxfId="1381" totalsRowDxfId="1382"/>
    <tableColumn id="5" name="الوزن" totalsRowFunction="custom" totalsRowDxfId="1382">
      <totalsRowFormula>H30*B30+H31*B31</totalsRowFormula>
    </tableColumn>
    <tableColumn id="6" name="Column3" dataDxfId="1386" totalsRowDxfId="1382"/>
    <tableColumn id="7" name="سعر الشبك " dataDxfId="1205" totalsRowDxfId="1387">
      <calculatedColumnFormula>H30*$H$2/1000</calculatedColumnFormula>
    </tableColumn>
    <tableColumn id="8" name="اجمالي" totalsRowFunction="sum" dataDxfId="1207" totalsRowDxfId="1388">
      <calculatedColumnFormula>B30*J30</calculatedColumnFormula>
    </tableColumn>
    <tableColumn id="9" name="%" totalsRowFunction="custom" totalsRowDxfId="138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Sheet2!AW26</calculatedColumnFormula>
    </tableColumn>
    <tableColumn id="8" name="اجمالي" totalsRowFunction="sum" dataDxfId="1390" totalsRowDxfId="1408">
      <calculatedColumnFormula>BH14*BP14</calculatedColumnFormula>
    </tableColumn>
    <tableColumn id="9" name="%" totalsRowFunction="custom" totalsRowDxfId="140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81"/>
    <tableColumn id="2" name="عدد" totalsRowFunction="count" dataDxfId="1381">
      <calculatedColumnFormula>BH20*4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(Table16627383[[#This Row],[Column1]]*Table16627383[[#This Row],[Column2]])*Table16627383[[#This Row],[عدد]]</calculatedColumnFormula>
    </tableColumn>
    <tableColumn id="4" name="الوحده" dataDxfId="1381"/>
    <tableColumn id="5" name="الوزن" totalsRowFunction="custom">
      <totalsRowFormula>(BN23*BH23)+(BH24*BN24)</totalsRowFormula>
    </tableColumn>
    <tableColumn id="6" name="سعر الكيلو" dataDxfId="1386"/>
    <tableColumn id="7" name="سعر الشبك " dataDxfId="1392">
      <calculatedColumnFormula>BN22*$S$2/1000</calculatedColumnFormula>
    </tableColumn>
    <tableColumn id="8" name="اجمالي" totalsRowFunction="sum" dataDxfId="1390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81"/>
    <tableColumn id="2" name="عدد" dataDxfId="1414">
      <calculatedColumnFormula>IF((تسعير!$AU$14="بالتات"),0,BH48-2)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تسعير!$AT$44</calculatedColumnFormula>
    </tableColumn>
    <tableColumn id="10" name="شيفت العمل" dataDxfId="1381"/>
    <tableColumn id="12" name="Column12" totalsRowFunction="sum" dataDxfId="1398">
      <calculatedColumnFormula>SUMIF(Table17697888[Column1],Table1612677686[[#This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Table1612677686[[#This Row],[Column12]]</calculatedColumnFormula>
    </tableColumn>
    <tableColumn id="8" name="اجمالي" totalsRowFunction="sum" dataDxfId="1390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97"/>
    <tableColumn id="2" name="عدد" dataDxfId="1414">
      <calculatedColumnFormula>IF((BL62="الاسكندرية"),0.25,0.1)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BQ45</calculatedColumnFormula>
    </tableColumn>
    <tableColumn id="8" name="اجمالي" totalsRowFunction="sum" dataDxfId="1390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IF((BL62="المقطم"),0.3,IF((BL62="التجمع"),0.3,IF((BL62="الشيخ زايد"),0.3,IF((BL62="الاسكندرية"),0.5,0.35))))</calculatedColumnFormula>
    </tableColumn>
    <tableColumn id="2" name="Column2" dataDxfId="1414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(Table1588090[[#This Row],[Column1]]+Table1588090[[#This Row],[Column2]])*12*Table1588090[[#This Row],[عدد]]</calculatedColumnFormula>
    </tableColumn>
    <tableColumn id="4" name="الوحده" dataDxfId="1381"/>
    <tableColumn id="5" name="الوزن" totalsRowFunction="custom">
      <totalsRowFormula>(BN6*BH6)+(BN7*BG7)+(BN8*BG8)+(BN9*BG9)</totalsRowFormula>
    </tableColumn>
    <tableColumn id="6" name="اجمالي المسطح" totalsRowFunction="sum" dataDxfId="1386">
      <calculatedColumnFormula>Table1588090[[#This Row],[المسطح]]*Table1588090[[#This Row],[عدد]]</calculatedColumnFormula>
    </tableColumn>
    <tableColumn id="7" name="سعر الشبك " dataDxfId="1231">
      <calculatedColumnFormula>BN6*$S$2/1000</calculatedColumnFormula>
    </tableColumn>
    <tableColumn id="8" name="اجمالي" totalsRowFunction="sum" dataDxfId="1390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1241" totalsRowDxfId="0"/>
    <tableColumn id="4" name="Column2" dataDxfId="1241" totalsRowDxfId="1242"/>
    <tableColumn id="5" name="wt/m" dataDxfId="1433" totalsRowDxfId="1242"/>
    <tableColumn id="6" name="price" totalsRowFunction="sum" dataDxfId="1241" totalsRowDxfId="143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218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32581.25</v>
      </c>
      <c r="J3" s="515"/>
    </row>
    <row r="4" ht="21">
      <c r="A4" s="509"/>
      <c r="B4" s="510"/>
      <c r="C4" s="510"/>
      <c r="D4" s="511"/>
      <c r="E4" s="500"/>
      <c r="F4" s="505"/>
      <c r="G4" s="567" t="s">
        <v>219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118273.75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220</v>
      </c>
      <c r="B10" s="568"/>
    </row>
    <row r="11">
      <c r="A11" s="233" t="s">
        <v>221</v>
      </c>
      <c r="B11" s="233" t="s">
        <v>222</v>
      </c>
    </row>
    <row r="12">
      <c r="A12" s="233" t="s">
        <v>223</v>
      </c>
      <c r="B12" s="233">
        <v>50000</v>
      </c>
    </row>
    <row r="13">
      <c r="A13" s="233" t="s">
        <v>224</v>
      </c>
      <c r="B13" s="233">
        <v>55000</v>
      </c>
    </row>
    <row r="14">
      <c r="A14" s="558" t="s">
        <v>225</v>
      </c>
      <c r="B14" s="233">
        <v>215000</v>
      </c>
    </row>
    <row r="15">
      <c r="A15" s="233" t="s">
        <v>226</v>
      </c>
      <c r="B15" s="233">
        <v>55000</v>
      </c>
    </row>
    <row r="16">
      <c r="A16" s="233" t="s">
        <v>227</v>
      </c>
      <c r="B16" s="233">
        <v>275</v>
      </c>
    </row>
    <row r="17">
      <c r="A17" s="233" t="s">
        <v>228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229</v>
      </c>
      <c r="B33" s="233">
        <v>11000</v>
      </c>
    </row>
    <row r="34">
      <c r="A34" s="233" t="s">
        <v>230</v>
      </c>
      <c r="B34" s="233">
        <v>2000</v>
      </c>
    </row>
    <row r="35">
      <c r="A35" s="233" t="s">
        <v>231</v>
      </c>
      <c r="B35" s="233">
        <v>1500</v>
      </c>
    </row>
    <row r="36">
      <c r="A36" s="233" t="s">
        <v>232</v>
      </c>
      <c r="B36" s="233">
        <v>1500</v>
      </c>
    </row>
    <row r="37">
      <c r="A37" s="233" t="s">
        <v>233</v>
      </c>
      <c r="B37" s="233">
        <v>5000</v>
      </c>
    </row>
    <row r="38">
      <c r="A38" s="233" t="s">
        <v>234</v>
      </c>
      <c r="B38" s="233">
        <v>800</v>
      </c>
    </row>
    <row r="39">
      <c r="A39" s="233" t="s">
        <v>235</v>
      </c>
      <c r="B39" s="233">
        <v>120</v>
      </c>
    </row>
    <row r="40">
      <c r="A40" s="233" t="s">
        <v>236</v>
      </c>
      <c r="B40" s="233">
        <v>90</v>
      </c>
    </row>
    <row r="41">
      <c r="A41" s="233" t="s">
        <v>237</v>
      </c>
      <c r="B41" s="233">
        <v>20</v>
      </c>
    </row>
    <row r="42" ht="18.75">
      <c r="A42" s="331" t="s">
        <v>238</v>
      </c>
      <c r="B42" s="233">
        <v>450</v>
      </c>
    </row>
    <row r="43" ht="18.75">
      <c r="A43" s="331" t="s">
        <v>239</v>
      </c>
      <c r="B43" s="233">
        <v>160</v>
      </c>
    </row>
    <row r="44" ht="18.75">
      <c r="A44" s="331" t="s">
        <v>240</v>
      </c>
      <c r="B44" s="233">
        <v>175</v>
      </c>
    </row>
    <row r="45">
      <c r="A45" s="558" t="s">
        <v>241</v>
      </c>
      <c r="B45" s="233">
        <v>4000</v>
      </c>
    </row>
    <row r="46">
      <c r="A46" s="558" t="s">
        <v>242</v>
      </c>
      <c r="B46" s="233">
        <v>3000</v>
      </c>
    </row>
    <row r="47">
      <c r="A47" s="233" t="s">
        <v>243</v>
      </c>
      <c r="B47" s="233">
        <v>160</v>
      </c>
    </row>
    <row r="48">
      <c r="A48" s="233" t="s">
        <v>244</v>
      </c>
      <c r="B48" s="233">
        <v>20</v>
      </c>
    </row>
    <row r="49">
      <c r="A49" s="233" t="s">
        <v>245</v>
      </c>
      <c r="B49" s="233">
        <v>1200</v>
      </c>
    </row>
    <row r="50">
      <c r="A50" s="233" t="s">
        <v>246</v>
      </c>
      <c r="B50" s="233">
        <v>150</v>
      </c>
    </row>
    <row r="51">
      <c r="A51" s="233" t="s">
        <v>247</v>
      </c>
      <c r="B51" s="233">
        <v>150</v>
      </c>
    </row>
    <row r="52">
      <c r="A52" s="233" t="s">
        <v>248</v>
      </c>
      <c r="B52" s="233">
        <v>250</v>
      </c>
    </row>
    <row r="53">
      <c r="A53" s="233" t="s">
        <v>249</v>
      </c>
      <c r="B53" s="233">
        <v>100</v>
      </c>
    </row>
    <row r="54">
      <c r="A54" s="558" t="s">
        <v>250</v>
      </c>
      <c r="B54" s="233">
        <v>1200</v>
      </c>
    </row>
    <row r="55">
      <c r="A55" s="537" t="s">
        <v>251</v>
      </c>
      <c r="B55" s="233">
        <v>23000</v>
      </c>
    </row>
    <row r="56">
      <c r="A56" s="537" t="s">
        <v>252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363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365</v>
      </c>
      <c r="O7" s="99">
        <f>AA41/K7</f>
        <v>2895.7462160158993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425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 (2)'!B9</f>
        <v>5</v>
      </c>
    </row>
    <row r="19" ht="18" customHeight="1">
      <c r="A19" s="637" t="s">
        <v>432</v>
      </c>
      <c r="B19" s="638"/>
      <c r="C19" s="14">
        <f>'Format Φωτισμου (2)'!B12</f>
        <v>35</v>
      </c>
    </row>
    <row r="20" ht="18" customHeight="1">
      <c r="A20" s="637" t="s">
        <v>433</v>
      </c>
      <c r="B20" s="638"/>
      <c r="C20" s="14">
        <f>C19/C18</f>
        <v>7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309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355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365</v>
      </c>
      <c r="O7" s="99">
        <f>AA41/K7</f>
        <v>2110.4132453090647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تسجيل2!C7</f>
        <v>1200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1200</v>
      </c>
      <c r="J4" s="15">
        <v>4</v>
      </c>
      <c r="K4" s="15">
        <v>2</v>
      </c>
    </row>
    <row r="5">
      <c r="A5" s="1" t="s">
        <v>254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Ro-2'!L14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(((B4-(تسجيل2!C22*2))/200)+1)*B9</f>
        <v>32.5</v>
      </c>
      <c r="C10" s="636" t="s">
        <v>287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288</v>
      </c>
      <c r="B11" s="13">
        <f>E10/B9</f>
        <v>6.6</v>
      </c>
      <c r="C11" s="636" t="s">
        <v>287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تسجيل1!C7</f>
        <v>500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500</v>
      </c>
      <c r="J4" s="15">
        <v>4</v>
      </c>
      <c r="K4" s="15">
        <v>2</v>
      </c>
    </row>
    <row r="5">
      <c r="A5" s="1" t="s">
        <v>254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Ro-1'!L14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15</v>
      </c>
      <c r="C10" s="636" t="s">
        <v>287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288</v>
      </c>
      <c r="B11" s="13">
        <f>E10/B9</f>
        <v>3</v>
      </c>
      <c r="C11" s="636" t="s">
        <v>287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264478.41469646036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75786.980921052629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97552.6230877193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6611.9603674115087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6062.95847368421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2787.2178025062653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2.5</v>
      </c>
      <c r="AL8" s="470" t="s">
        <v>169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483903.40531602845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339504.75</v>
      </c>
      <c r="AU22" s="480"/>
      <c r="BC22" s="414"/>
      <c r="BD22" s="472" t="s">
        <v>163</v>
      </c>
      <c r="BE22" s="473">
        <f>'بيرسا و لوفرز'!R140</f>
        <v>253660.59333333338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5040.6604720419637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16975.2375</v>
      </c>
      <c r="AU23" s="480"/>
      <c r="AV23" s="481"/>
      <c r="BC23" s="414"/>
      <c r="BD23" s="472" t="s">
        <v>127</v>
      </c>
      <c r="BE23" s="474">
        <f>BE22/(BE33*BE34/10000)</f>
        <v>18938.374894231252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179</v>
      </c>
      <c r="AH28" s="579" t="s">
        <v>199</v>
      </c>
      <c r="AI28" s="579" t="s">
        <v>169</v>
      </c>
      <c r="AJ28" s="579" t="s">
        <v>200</v>
      </c>
      <c r="AK28" s="579" t="s">
        <v>201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203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204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206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207</v>
      </c>
      <c r="AT41" s="611"/>
      <c r="AU41" s="611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209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>
        <f>'بيرسا و لوفرز'!BM68</f>
        <v>190266.245</v>
      </c>
      <c r="AU42" s="480"/>
      <c r="BD42" s="472" t="s">
        <v>163</v>
      </c>
      <c r="BE42" s="473">
        <f>'بيرسا و لوفرز'!BM139</f>
        <v>197761.61166666666</v>
      </c>
      <c r="BF42" s="480"/>
      <c r="BN42" s="415"/>
    </row>
    <row r="43" ht="42" customHeight="1">
      <c r="A43" s="589" t="s">
        <v>210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>
        <f>AT42/(AT53*AT54/10000)</f>
        <v>9513.312249999999</v>
      </c>
      <c r="AU43" s="480"/>
      <c r="AV43" s="481"/>
      <c r="BD43" s="472" t="s">
        <v>127</v>
      </c>
      <c r="BE43" s="474">
        <f>BE42/(BE53*BE54/10000)</f>
        <v>9888.0805833333325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213</v>
      </c>
      <c r="T52" s="459" t="s">
        <v>214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400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>
        <f>('بيرسا و لوفرز'!BA14+'بيرسا و لوفرز'!BP62+'بيرسا و لوفرز'!BQ54)*1.35</f>
        <v>132315.525</v>
      </c>
      <c r="AT57" s="608"/>
      <c r="BD57" s="607">
        <f>('بيرسا و لوفرز'!BA85+'بيرسا و لوفرز'!BP133+'بيرسا و لوفرز'!BQ125)*1.35</f>
        <v>132315.525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>
        <f>AS57/(AT53*AT54/10000)</f>
        <v>6615.77625</v>
      </c>
      <c r="AT58" s="599"/>
      <c r="BD58" s="598">
        <f>BD57/(BE53*BE54/10000)</f>
        <v>6615.77625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215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209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3465.072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213</v>
      </c>
      <c r="T70" s="459" t="s">
        <v>214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216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217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BBF5703-9CFB-49A6-8AED-398D530085F4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E6F87AA-6ABC-4CE6-BFA4-B553E0C9E58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DFB2F203-37B7-492B-94C7-94D953FFC82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A970E93-64CA-495C-8519-5AFE2C48F587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B1B4FCAF-CF09-44BD-95C2-5F5C4B936A1A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4062401-7BFD-482F-BC7C-32713A5383A1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8D28CEF-E9A0-4FA7-8A0C-1363984B9DC7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8CD0337-95BA-4678-8228-80F71EDBCF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D3B5378A-24A8-4576-BDA0-5E33F4B69FA1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FF1ACC67-8037-423A-B1D9-B7AA0C468331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EC32CDDC-0EA4-4E1A-8569-07D33689150F}">
          <x14:formula1>
            <xm:f>wavy2!$A$19:$A$20</xm:f>
          </x14:formula1>
          <xm:sqref>BE9</xm:sqref>
        </x14:dataValidation>
        <x14:dataValidation type="list" allowBlank="1" showInputMessage="1" showErrorMessage="1" xr:uid="{3F366E10-78C0-49AA-BF03-7B5130336755}">
          <x14:formula1>
            <xm:f>wavy1!$A$19:$A$20</xm:f>
          </x14:formula1>
          <xm:sqref>AT9</xm:sqref>
        </x14:dataValidation>
        <x14:dataValidation type="list" allowBlank="1" showInputMessage="1" showErrorMessage="1" xr:uid="{FD169C8B-7D41-4719-91C0-98FAAC4AC96F}">
          <x14:formula1>
            <xm:f>Sheet2!$B$5:$B$7</xm:f>
          </x14:formula1>
          <xm:sqref>T25 T46 T64</xm:sqref>
        </x14:dataValidation>
        <x14:dataValidation type="list" allowBlank="1" showInputMessage="1" showErrorMessage="1" xr:uid="{F3EFBC3D-DA03-4288-AB5A-A76572555FA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EF8E2B0-AF09-4355-9970-033E97272B4C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7FFBF3EE-31C2-4BC8-AF46-E4002AE8A9B9}">
          <x14:formula1>
            <xm:f>Sheet2!$C$5:$C$6</xm:f>
          </x14:formula1>
          <xm:sqref>T26</xm:sqref>
        </x14:dataValidation>
        <x14:dataValidation type="list" allowBlank="1" showInputMessage="1" showErrorMessage="1" xr:uid="{654E3FFF-1531-427D-B115-9CF3724CE4DA}">
          <x14:formula1>
            <xm:f>Sheet2!$A$5</xm:f>
          </x14:formula1>
          <xm:sqref>U31</xm:sqref>
        </x14:dataValidation>
        <x14:dataValidation type="list" allowBlank="1" showInputMessage="1" showErrorMessage="1" xr:uid="{C2C000FC-2858-4D8E-9924-22E47DDCC32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3C09C60B-ACE1-4487-8D32-460AABD5F4C9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4DE509A-F7A1-4FDC-AEA0-92BDF293C577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B665C88-DCFE-4ABC-B0C5-0A96DA8E9AA4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0282411-C3C1-42EA-82C4-6C9D6B24F841}">
          <x14:formula1>
            <xm:f>Sheet2!$D$5:$D$6</xm:f>
          </x14:formula1>
          <xm:sqref>T32 T53 T71</xm:sqref>
        </x14:dataValidation>
        <x14:dataValidation type="list" allowBlank="1" showInputMessage="1" showErrorMessage="1" xr:uid="{DDC54AC4-B55F-4B66-9B7D-D3BDF8A1C762}">
          <x14:formula1>
            <xm:f>Sheet2!$A$6</xm:f>
          </x14:formula1>
          <xm:sqref>AC36</xm:sqref>
        </x14:dataValidation>
        <x14:dataValidation type="list" allowBlank="1" showInputMessage="1" showErrorMessage="1" xr:uid="{98A17B4D-4807-4481-800D-E830CA75CB1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800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45409.535895821762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0.016712138890702281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0.040213584205752363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0.020644406864985171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0.0775701299614398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0.0039322679742828893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0.0036865012258902089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0.001671213889070228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0.0003686501225890209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0.0014746004903560836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0.00044238014710682507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0.024576674839268058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0.00019661339871414446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0.017695205884273004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0.0039322679742828893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0.057976375945833353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0.0003686501225890209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0.0003686501225890209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0.00061441687098170148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0.0036865012258902089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0.00098306699357072233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0.0061474455997955844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0.0019965314533900132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0.0164663721423096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0.033591399170311585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0.06422303370142747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0.0073975791266196857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0.017203672387487642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0.024601251514107327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0.56934250534450914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0.056934250534450913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0.62627675587896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0.0039322679742828893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0.0029492009807121672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0.0058984019614243344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0.004423801471068251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0.019169806374629086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0.014377354780971815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0.019169806374629086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0.012976484315133536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0.019661339871414447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0.014746004903560836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0.022610540852126614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0.0094374431382789354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0.149352452998232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203444.93438189256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264478.41469646036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703840C0-8D10-4A0E-9EB0-52D85EA215D7}">
      <formula1>$N$2:$N$20</formula1>
    </dataValidation>
    <dataValidation type="list" allowBlank="1" showInputMessage="1" showErrorMessage="1" sqref="G63:G75" xr:uid="{07CC547D-4A3B-43BD-8820-6DD9B268A5BE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45409.535895833331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0.0057087839631875751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0.050237298876050655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0.011383986844238752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0.015044324797106079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0.082374394480583063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0.00322378388509416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0.0026864865709117997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0.0011417567926375149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0.000604459478455155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0.002579027108075328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0.000322378388509416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0.0322378388509416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0.00010745946283647199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0.00322378388509416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0.0461269744225556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0.015044324797106079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0.00644756777018832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0.021491892567294398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0.00644756777018832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0.000564162179891478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0.000201486492818385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0.000201486492818385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0.00067162164272794992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0.00201486492818385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0.00053729731418236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0.0241783791382062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0.029551352280029797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0.00214918925672944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0.00214918925672944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0.06866659675250561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0.0050539528615278235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0.094027029981913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0.099080982843440815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0.54428129688933047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0.054428129688933055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0.59870942657826354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0.00322378388509416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0.00161189194254708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0.00483567582764124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0.00322378388509416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0.010477297626556019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0.010477297626556019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0.010477297626556019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0.0070923245472071517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0.0120891895691031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0.0080594597127354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0.00617891911309714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0.0058028109931694879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0.083549732355356982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372233.38870463724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483903.40531602845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65F3B3B-A78C-4183-BB39-2204A25C51A3}">
      <formula1>$U$4:$U$5</formula1>
    </dataValidation>
    <dataValidation type="list" allowBlank="1" showInputMessage="1" showErrorMessage="1" sqref="F72:F80" xr:uid="{ECF5B531-95F3-4E02-AB19-F1E0CB0A6FB6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45409.535895856483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0.021870511001442574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0.061108780739324839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0.082979291740767416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0.006861336784766298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0.0029160681335256766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0.0012865006471436808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0.0020584010354298891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0.041168020708597784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0.054290327309463329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0.00077190038828620848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0.00077190038828620848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0.00042883354904789362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0.0025730012942873615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0.0013722673569532596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0.0037917913810550591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0.038595019414310427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0.0471716903952683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0.013722673569532596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0.013722673569532596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0.1229217513065599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0.40059485984308979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0.04005948598430898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0.44065434582739876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0.006861336784766298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0.006861336784766298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0.010292005177149446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0.010292005177149446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0.044598689100980936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0.0334490168257357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0.022299344550490468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0.045284822779457563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0.030018348433352552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0.078905373024812417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0.010292005177149446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0.29915428381581055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58297.677631578947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75786.980921052629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6E3E278D-2224-4C29-A980-FC187086472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45409.535895879628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0.0759590031047851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0.0759590031047851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0.0053304563582305328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0.0022654439522479764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0.000999460567168225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0.0063965476298766394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0.014991908507523374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0.018656597253806865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0.0079956845373458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0.026652281791152664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0.0040333786443944378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0.00059967634030093494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0.00059967634030093494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0.000999460567168225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0.0059967634030093494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0.0015991369074691599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0.0029457785137589785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0.041044513958375106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0.059967634030093496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0.073293774925669825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0.0019360217493093299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0.0019360217493093299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0.19495183712915912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0.50895197308385132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0.050895197308385133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0.55984717039223642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0.010660912716461066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0.010660912716461066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0.0053304563582305328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0.0079956845373458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0.017323983164249233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0.012992987373186923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0.0319827381493832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0.030650124059825565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0.12759779907514338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75040.479298245613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97552.6230877193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805A133-8B29-4001-B7EC-18E886D36C2A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475</v>
      </c>
      <c r="B2" s="324" t="s">
        <v>198</v>
      </c>
      <c r="C2" s="324" t="s">
        <v>476</v>
      </c>
      <c r="E2" s="324" t="s">
        <v>9</v>
      </c>
      <c r="F2" s="323" t="s">
        <v>30</v>
      </c>
      <c r="H2" s="329" t="s">
        <v>9</v>
      </c>
      <c r="I2" s="361" t="s">
        <v>477</v>
      </c>
      <c r="J2" s="362" t="s">
        <v>478</v>
      </c>
      <c r="K2" s="363" t="s">
        <v>479</v>
      </c>
      <c r="M2" s="364" t="s">
        <v>480</v>
      </c>
      <c r="N2" s="364" t="s">
        <v>481</v>
      </c>
      <c r="O2" s="0" t="s">
        <v>9</v>
      </c>
      <c r="P2" s="365"/>
      <c r="R2" s="340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5"/>
    </row>
    <row r="3" ht="22.5" customHeight="1">
      <c r="A3" s="330" t="s">
        <v>180</v>
      </c>
      <c r="B3" s="331">
        <v>2.5</v>
      </c>
      <c r="C3" s="331">
        <v>11.75</v>
      </c>
      <c r="E3" s="331" t="s">
        <v>482</v>
      </c>
      <c r="F3" s="331">
        <f>Sheet2!B42</f>
        <v>450</v>
      </c>
      <c r="H3" s="565" t="s">
        <v>483</v>
      </c>
      <c r="I3" s="366">
        <v>2</v>
      </c>
      <c r="J3" s="367">
        <v>75</v>
      </c>
      <c r="K3" s="368">
        <f ref="K3:K10" t="shared" si="0">I3*J3</f>
        <v>150</v>
      </c>
      <c r="M3" s="369" t="s">
        <v>484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9" t="str">
        <f>IF((N6&gt;0),"OK","WAIT")</f>
        <v>OK</v>
      </c>
      <c r="P3" s="365"/>
      <c r="R3" s="340"/>
      <c r="S3" s="383" t="s">
        <v>450</v>
      </c>
      <c r="T3" s="331">
        <v>17</v>
      </c>
      <c r="U3" s="323"/>
      <c r="V3" s="331" t="s">
        <v>482</v>
      </c>
      <c r="W3" s="331">
        <f>Sheet2!B42</f>
        <v>450</v>
      </c>
      <c r="X3" s="323"/>
      <c r="Y3" s="339" t="s">
        <v>485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484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180</v>
      </c>
      <c r="B4" s="331">
        <v>2.7</v>
      </c>
      <c r="C4" s="331">
        <v>13.5</v>
      </c>
      <c r="E4" s="331" t="s">
        <v>486</v>
      </c>
      <c r="F4" s="331">
        <f>Sheet2!B43</f>
        <v>160</v>
      </c>
      <c r="H4" s="565" t="s">
        <v>487</v>
      </c>
      <c r="I4" s="366">
        <v>2</v>
      </c>
      <c r="J4" s="367"/>
      <c r="K4" s="368">
        <f t="shared" si="0"/>
        <v>0</v>
      </c>
      <c r="M4" s="369" t="s">
        <v>488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486</v>
      </c>
      <c r="W4" s="331">
        <f>Sheet2!B43</f>
        <v>160</v>
      </c>
      <c r="X4" s="323"/>
      <c r="Y4" s="339" t="s">
        <v>487</v>
      </c>
      <c r="Z4" s="375">
        <v>2</v>
      </c>
      <c r="AA4" s="331">
        <v>15</v>
      </c>
      <c r="AB4" s="331">
        <f t="shared" si="1"/>
        <v>30</v>
      </c>
      <c r="AD4" s="388" t="s">
        <v>488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180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489</v>
      </c>
      <c r="I5" s="366">
        <v>16</v>
      </c>
      <c r="J5" s="367">
        <v>10</v>
      </c>
      <c r="K5" s="368">
        <f t="shared" si="0"/>
        <v>160</v>
      </c>
      <c r="M5" s="369" t="s">
        <v>490</v>
      </c>
      <c r="N5" s="369">
        <f>IF((تسعير!AL8="خشبي"),'شماسي و كانتليفر'!F8,IF((تسعير!AL8="سادة"),'شماسي و كانتليفر'!F9,0))</f>
        <v>20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491</v>
      </c>
      <c r="Z5" s="375">
        <v>1</v>
      </c>
      <c r="AA5" s="331">
        <v>150</v>
      </c>
      <c r="AB5" s="331">
        <f t="shared" si="1"/>
        <v>150</v>
      </c>
      <c r="AD5" s="388" t="s">
        <v>490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180</v>
      </c>
      <c r="B6" s="331">
        <v>3.5</v>
      </c>
      <c r="C6" s="331">
        <v>14.6</v>
      </c>
      <c r="E6" s="331" t="s">
        <v>492</v>
      </c>
      <c r="F6" s="331">
        <v>250</v>
      </c>
      <c r="H6" s="565" t="s">
        <v>493</v>
      </c>
      <c r="I6" s="366">
        <v>16</v>
      </c>
      <c r="J6" s="367">
        <v>1</v>
      </c>
      <c r="K6" s="368">
        <f t="shared" si="0"/>
        <v>16</v>
      </c>
      <c r="M6" s="369" t="s">
        <v>494</v>
      </c>
      <c r="N6" s="369">
        <f>(N5+'شماسي و كانتليفر'!F10)*(N4)</f>
        <v>2761.25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181</v>
      </c>
      <c r="W6" s="331">
        <v>250</v>
      </c>
      <c r="X6" s="323"/>
      <c r="Y6" s="339" t="s">
        <v>495</v>
      </c>
      <c r="Z6" s="375">
        <v>1</v>
      </c>
      <c r="AA6" s="331">
        <v>150</v>
      </c>
      <c r="AB6" s="331">
        <f t="shared" si="1"/>
        <v>150</v>
      </c>
      <c r="AD6" s="388" t="s">
        <v>494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496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497</v>
      </c>
      <c r="I7" s="366">
        <v>2</v>
      </c>
      <c r="J7" s="367">
        <v>80</v>
      </c>
      <c r="K7" s="368">
        <f t="shared" si="0"/>
        <v>160</v>
      </c>
      <c r="M7" s="369" t="s">
        <v>498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499</v>
      </c>
      <c r="Z7" s="375">
        <v>1</v>
      </c>
      <c r="AA7" s="331">
        <v>150</v>
      </c>
      <c r="AB7" s="331">
        <f t="shared" si="1"/>
        <v>150</v>
      </c>
      <c r="AD7" s="388" t="s">
        <v>498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496</v>
      </c>
      <c r="B8" s="331">
        <v>2.5</v>
      </c>
      <c r="C8" s="331">
        <v>11.75</v>
      </c>
      <c r="E8" s="331" t="s">
        <v>177</v>
      </c>
      <c r="F8" s="331">
        <f>Table626[[#This Row],[Column2]]</f>
        <v>55</v>
      </c>
      <c r="H8" s="565" t="s">
        <v>500</v>
      </c>
      <c r="I8" s="366">
        <v>2</v>
      </c>
      <c r="J8" s="367">
        <v>20</v>
      </c>
      <c r="K8" s="368">
        <f t="shared" si="0"/>
        <v>40</v>
      </c>
      <c r="M8" s="369" t="s">
        <v>501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55</v>
      </c>
      <c r="X8" s="323"/>
      <c r="Y8" s="339" t="s">
        <v>502</v>
      </c>
      <c r="Z8" s="375">
        <v>2</v>
      </c>
      <c r="AA8" s="331">
        <v>50</v>
      </c>
      <c r="AB8" s="331">
        <f t="shared" si="1"/>
        <v>100</v>
      </c>
      <c r="AD8" s="388" t="s">
        <v>501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496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503</v>
      </c>
      <c r="I9" s="366">
        <v>7</v>
      </c>
      <c r="J9" s="367">
        <v>8</v>
      </c>
      <c r="K9" s="368">
        <f t="shared" si="0"/>
        <v>56</v>
      </c>
      <c r="M9" s="369" t="s">
        <v>504</v>
      </c>
      <c r="N9" s="369">
        <f>N8*N7</f>
        <v>0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505</v>
      </c>
      <c r="Z9" s="375">
        <v>36</v>
      </c>
      <c r="AA9" s="331">
        <v>25</v>
      </c>
      <c r="AB9" s="331">
        <f t="shared" si="1"/>
        <v>900</v>
      </c>
      <c r="AD9" s="388" t="s">
        <v>504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496</v>
      </c>
      <c r="B10" s="331">
        <v>3.3</v>
      </c>
      <c r="C10" s="331">
        <v>16.5</v>
      </c>
      <c r="E10" s="331" t="s">
        <v>225</v>
      </c>
      <c r="F10" s="331">
        <f>W11</f>
        <v>215</v>
      </c>
      <c r="H10" s="565" t="s">
        <v>506</v>
      </c>
      <c r="I10" s="366">
        <v>8</v>
      </c>
      <c r="J10" s="367">
        <v>50</v>
      </c>
      <c r="K10" s="368">
        <f t="shared" si="0"/>
        <v>400</v>
      </c>
      <c r="M10" s="369" t="s">
        <v>507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4832</v>
      </c>
      <c r="O10" s="369"/>
      <c r="P10" s="365"/>
      <c r="R10" s="340"/>
      <c r="S10" s="331"/>
      <c r="T10" s="331"/>
      <c r="U10" s="323"/>
      <c r="V10" s="331" t="s">
        <v>508</v>
      </c>
      <c r="W10" s="331">
        <v>90</v>
      </c>
      <c r="X10" s="323"/>
      <c r="Y10" s="339" t="s">
        <v>509</v>
      </c>
      <c r="Z10" s="375">
        <v>1</v>
      </c>
      <c r="AA10" s="331">
        <v>75</v>
      </c>
      <c r="AB10" s="331">
        <f t="shared" si="1"/>
        <v>75</v>
      </c>
      <c r="AD10" s="388" t="s">
        <v>507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510</v>
      </c>
      <c r="F11" s="333">
        <v>450</v>
      </c>
      <c r="H11" s="374" t="s">
        <v>511</v>
      </c>
      <c r="I11" s="370"/>
      <c r="J11" s="371"/>
      <c r="K11" s="372">
        <v>250</v>
      </c>
      <c r="M11" s="369" t="s">
        <v>512</v>
      </c>
      <c r="N11" s="369">
        <f>IF(OR(تسعير!AN8="double",تسعير!AN8="single مطرز"),'شماسي و كانتليفر'!F13,0)</f>
        <v>0</v>
      </c>
      <c r="O11" s="369"/>
      <c r="P11" s="365"/>
      <c r="R11" s="340"/>
      <c r="S11" s="323"/>
      <c r="T11" s="323"/>
      <c r="U11" s="323"/>
      <c r="V11" s="331" t="s">
        <v>225</v>
      </c>
      <c r="W11" s="331">
        <f>Sheet2!B14/1000</f>
        <v>215</v>
      </c>
      <c r="X11" s="323"/>
      <c r="Y11" s="339" t="s">
        <v>513</v>
      </c>
      <c r="Z11" s="375">
        <v>1</v>
      </c>
      <c r="AA11" s="331">
        <v>75</v>
      </c>
      <c r="AB11" s="331">
        <f t="shared" si="1"/>
        <v>75</v>
      </c>
      <c r="AD11" s="388" t="s">
        <v>512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514</v>
      </c>
      <c r="F12" s="335">
        <v>450</v>
      </c>
      <c r="H12" s="373" t="s">
        <v>515</v>
      </c>
      <c r="I12" s="366"/>
      <c r="J12" s="367"/>
      <c r="K12" s="373">
        <v>2700</v>
      </c>
      <c r="M12" s="369" t="s">
        <v>516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510</v>
      </c>
      <c r="W12" s="331">
        <v>500</v>
      </c>
      <c r="X12" s="323"/>
      <c r="Y12" s="388" t="s">
        <v>515</v>
      </c>
      <c r="Z12" s="375"/>
      <c r="AA12" s="331"/>
      <c r="AB12" s="217">
        <f>Sheet2!B45</f>
        <v>4000</v>
      </c>
      <c r="AD12" s="388" t="s">
        <v>517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518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517</v>
      </c>
      <c r="N13" s="369">
        <f>IF(تسعير!AI8="نصف جملة",((N6+N9+N10+N11+تسعير!AO8)*1.275),IF(تسعير!AI8="جملة",(((N6+N9+N10+N11+تسعير!AO8)*1.25)),((N6+N9+N10+N11+تسعير!AO8)*1.3)))</f>
        <v>9871.225</v>
      </c>
      <c r="O13" s="369"/>
      <c r="P13" s="365"/>
      <c r="R13" s="340"/>
      <c r="S13" s="323"/>
      <c r="T13" s="323"/>
      <c r="U13" s="323"/>
      <c r="V13" s="331" t="s">
        <v>514</v>
      </c>
      <c r="W13" s="331">
        <v>500</v>
      </c>
      <c r="X13" s="323"/>
      <c r="Y13" s="339" t="s">
        <v>519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518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520</v>
      </c>
      <c r="J15" s="323" t="s">
        <v>521</v>
      </c>
      <c r="K15" s="323" t="s">
        <v>522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523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7593.25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179</v>
      </c>
      <c r="F17" s="323" t="s">
        <v>182</v>
      </c>
      <c r="H17" s="331" t="s">
        <v>524</v>
      </c>
      <c r="I17" s="331">
        <v>5.65</v>
      </c>
      <c r="J17" s="331" t="s">
        <v>525</v>
      </c>
      <c r="K17" s="331" t="s">
        <v>525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520</v>
      </c>
      <c r="AA17" s="323" t="s">
        <v>521</v>
      </c>
      <c r="AB17" s="323" t="s">
        <v>522</v>
      </c>
      <c r="AG17" s="365"/>
    </row>
    <row r="18" ht="18.75">
      <c r="A18" s="340"/>
      <c r="E18" s="324" t="s">
        <v>526</v>
      </c>
      <c r="F18" s="323" t="s">
        <v>214</v>
      </c>
      <c r="H18" s="331" t="s">
        <v>527</v>
      </c>
      <c r="I18" s="331">
        <v>6.1</v>
      </c>
      <c r="J18" s="331" t="s">
        <v>525</v>
      </c>
      <c r="K18" s="331" t="s">
        <v>525</v>
      </c>
      <c r="P18" s="365"/>
      <c r="R18" s="340"/>
      <c r="V18" s="331" t="s">
        <v>179</v>
      </c>
      <c r="W18" s="339" t="s">
        <v>182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528</v>
      </c>
      <c r="F19" s="323" t="s">
        <v>201</v>
      </c>
      <c r="H19" s="331" t="s">
        <v>529</v>
      </c>
      <c r="I19" s="331">
        <v>6.5</v>
      </c>
      <c r="J19" s="331" t="s">
        <v>525</v>
      </c>
      <c r="K19" s="331" t="s">
        <v>525</v>
      </c>
      <c r="P19" s="365"/>
      <c r="R19" s="340"/>
      <c r="V19" s="331" t="s">
        <v>526</v>
      </c>
      <c r="W19" s="339" t="s">
        <v>214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530</v>
      </c>
      <c r="H20" s="331" t="s">
        <v>531</v>
      </c>
      <c r="I20" s="331">
        <v>7.5</v>
      </c>
      <c r="J20" s="331" t="s">
        <v>525</v>
      </c>
      <c r="K20" s="331" t="s">
        <v>525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532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533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534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476</v>
      </c>
      <c r="C27" s="345" t="s">
        <v>29</v>
      </c>
      <c r="D27" s="345" t="s">
        <v>535</v>
      </c>
      <c r="E27" s="346" t="s">
        <v>448</v>
      </c>
      <c r="F27" s="345" t="s">
        <v>536</v>
      </c>
      <c r="G27" s="345" t="s">
        <v>442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537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538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539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541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542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545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546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547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549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550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551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552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553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476</v>
      </c>
      <c r="C60" s="345" t="s">
        <v>29</v>
      </c>
      <c r="D60" s="345" t="s">
        <v>535</v>
      </c>
      <c r="E60" s="346" t="s">
        <v>448</v>
      </c>
      <c r="F60" s="345" t="s">
        <v>536</v>
      </c>
      <c r="G60" s="345" t="s">
        <v>442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537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538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539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541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554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509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545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546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547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550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549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551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552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553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688A798D-AF45-4B3B-8E19-922BEED38A0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555</v>
      </c>
      <c r="B1" s="545">
        <f>(F1*D1)/10000</f>
        <v>20</v>
      </c>
      <c r="C1" s="546" t="s">
        <v>425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557</v>
      </c>
      <c r="D2" s="550" t="s">
        <v>30</v>
      </c>
      <c r="E2" s="550" t="s">
        <v>558</v>
      </c>
      <c r="F2" s="550" t="s">
        <v>559</v>
      </c>
      <c r="G2" s="540"/>
      <c r="H2" s="551" t="s">
        <v>560</v>
      </c>
      <c r="I2" s="551"/>
      <c r="J2" s="551" t="s">
        <v>561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562</v>
      </c>
      <c r="B3" s="552">
        <f>ROUNDUP((12+((ROUNDUP((D1-210),15))/15)),0)</f>
        <v>32</v>
      </c>
      <c r="C3" s="553">
        <f>F1-16.5</f>
        <v>383.5</v>
      </c>
      <c r="D3" s="550" t="s">
        <v>563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45409.535895925925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62100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0">
        <f>NOW()</f>
        <v>45409.535895925925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564</v>
      </c>
      <c r="B4" s="550">
        <v>2</v>
      </c>
      <c r="C4" s="552">
        <f>F1</f>
        <v>400</v>
      </c>
      <c r="D4" s="550" t="s">
        <v>563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4590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49" t="s">
        <v>566</v>
      </c>
      <c r="B5" s="550">
        <v>2</v>
      </c>
      <c r="C5" s="552">
        <f>D1</f>
        <v>500</v>
      </c>
      <c r="D5" s="550" t="s">
        <v>563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4590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568</v>
      </c>
      <c r="B6" s="550">
        <v>2</v>
      </c>
      <c r="C6" s="552">
        <f>F1</f>
        <v>400</v>
      </c>
      <c r="D6" s="550" t="s">
        <v>563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0.012591870953204631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0.012591870953204631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572</v>
      </c>
      <c r="B7" s="550">
        <v>2</v>
      </c>
      <c r="C7" s="552">
        <f>D1</f>
        <v>500</v>
      </c>
      <c r="D7" s="550" t="s">
        <v>563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0.032694682474987462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0.032694682474987462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575</v>
      </c>
      <c r="B8" s="550">
        <v>2</v>
      </c>
      <c r="C8" s="550">
        <f>C3</f>
        <v>383.5</v>
      </c>
      <c r="D8" s="550" t="s">
        <v>563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0.004418200334457765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0.004418200334457765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570</v>
      </c>
      <c r="B9" s="550">
        <v>2</v>
      </c>
      <c r="C9" s="550">
        <f>(15.6*(B3-1)+4)</f>
        <v>487.59999999999997</v>
      </c>
      <c r="D9" s="550" t="s">
        <v>563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574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577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0.049704753762649857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0.049704753762649857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578</v>
      </c>
      <c r="B12" s="550">
        <v>1</v>
      </c>
      <c r="C12" s="552">
        <v>100</v>
      </c>
      <c r="D12" s="550" t="s">
        <v>563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583</v>
      </c>
      <c r="B13" s="550"/>
      <c r="C13" s="550">
        <v>4</v>
      </c>
      <c r="D13" s="550" t="s">
        <v>370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584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0.0035345602675662122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5203.0825</v>
      </c>
      <c r="AX14" s="194"/>
      <c r="AY14" s="194"/>
      <c r="AZ14" s="194"/>
      <c r="BA14" s="194">
        <f>SUBTOTAL(109,Table8091[price])</f>
        <v>94601.5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0.0035345602675662122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581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0.0007510940568578201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0.0007510940568578201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582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0.00033136502508433242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0.00033136502508433242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585</v>
      </c>
      <c r="B17" s="550">
        <v>2</v>
      </c>
      <c r="C17" s="550"/>
      <c r="D17" s="550" t="s">
        <v>563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0.0021207361605397271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0.0021207361605397271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586</v>
      </c>
      <c r="B18" s="550"/>
      <c r="C18" s="550">
        <f>ROUNDUP(((C3*B3)/100),0)</f>
        <v>123</v>
      </c>
      <c r="D18" s="550" t="s">
        <v>563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587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0.0067377555100480921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0.0067377555100480921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588</v>
      </c>
      <c r="B20" s="550" t="s">
        <v>589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590</v>
      </c>
      <c r="B21" s="550" t="s">
        <v>591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592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0.0053018404013493187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0.0053018404013493187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0.0030927402341204358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0.0030927402341204358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0.0013254601003373297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0.0013254601003373297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0.0097200407358070829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0.0097200407358070829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0.0039940531023498205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0.0039940531023498205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0.00026509202006746589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0.00023858281806071933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0.00026509202006746589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0.00023858281806071933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0.00017672801337831061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0.00011045500836144413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0.00066273005016866484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0.00066273005016866484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0.00035345602675662121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0.00035345602675662121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0.012150050919758855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0.012150050919758855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0.0032473772458264574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0.0032473772458264574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0.015772975194014223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0.015772975194014223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0.021649181638843051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0.036768263183357526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0.058536736231230936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94601.5</v>
      </c>
      <c r="BQ46" s="252">
        <f>BH46*Table1613687787[[#This Row],[سعر الشبك ]]</f>
        <v>94601.5</v>
      </c>
      <c r="BR46" s="241">
        <f>(BQ46)/$R$68</f>
        <v>0.41796837894020628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0.670550264760655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94601.5</v>
      </c>
      <c r="BQ47" s="240">
        <f>BH47*Table1613687787[[#This Row],[سعر الشبك ]]</f>
        <v>9460.15</v>
      </c>
      <c r="BR47" s="241">
        <f>(BQ47)/$R$68</f>
        <v>0.041796837894020625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0.16763756619016376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104061.65</v>
      </c>
      <c r="BR48" s="244">
        <f>Table1613687787[[#Totals],[اجمالي]]/$R$68</f>
        <v>0.45976521683422689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0.83818783095081884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0.0016347341237493733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0.0017672801337831061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0.0016347341237493733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0.0017672801337831061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0.00490420237124812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0.0053018404013493187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0.010957136829455257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0.0070691205351324244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0.0082178526220914438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0.0053018404013493187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0.010957136829455257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0.0070691205351324244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0.0116640488829685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0.0099409507525299711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0.020323721538505722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0.00883640066891553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0.0037112882809445229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0.083945806354697547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0.037112882809445226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146358.65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226336.5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190266.245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339504.75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215000</v>
      </c>
      <c r="V73" s="303">
        <f>Sheet2!B15</f>
        <v>55000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45409.535896006942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555</v>
      </c>
      <c r="B74" s="545">
        <f>(F74*D74)/10000</f>
        <v>13.394</v>
      </c>
      <c r="C74" s="546" t="s">
        <v>425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45409.535896006942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557</v>
      </c>
      <c r="D75" s="550" t="s">
        <v>30</v>
      </c>
      <c r="E75" s="550" t="s">
        <v>558</v>
      </c>
      <c r="F75" s="550" t="s">
        <v>559</v>
      </c>
      <c r="G75" s="540"/>
      <c r="H75" s="551" t="s">
        <v>560</v>
      </c>
      <c r="I75" s="551"/>
      <c r="J75" s="551" t="s">
        <v>561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562</v>
      </c>
      <c r="B76" s="552">
        <f>ROUNDUP((12+((ROUNDUP((D74-210),15))/15)),0)</f>
        <v>23</v>
      </c>
      <c r="C76" s="553">
        <f>F74-16.5</f>
        <v>353.5</v>
      </c>
      <c r="D76" s="550" t="s">
        <v>563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0.037112882809445226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564</v>
      </c>
      <c r="B77" s="550">
        <v>2</v>
      </c>
      <c r="C77" s="552">
        <f>F74</f>
        <v>370</v>
      </c>
      <c r="D77" s="550" t="s">
        <v>563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0.074225765618890452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0.032694682474987462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566</v>
      </c>
      <c r="B78" s="550">
        <v>2</v>
      </c>
      <c r="C78" s="552">
        <f>D74</f>
        <v>362</v>
      </c>
      <c r="D78" s="550" t="s">
        <v>563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0.032694682474987462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0.004418200334457765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49" t="s">
        <v>568</v>
      </c>
      <c r="B79" s="550">
        <v>2</v>
      </c>
      <c r="C79" s="552">
        <f>F74</f>
        <v>370</v>
      </c>
      <c r="D79" s="550" t="s">
        <v>563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0.004418200334457765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572</v>
      </c>
      <c r="B80" s="550">
        <v>2</v>
      </c>
      <c r="C80" s="552">
        <f>D74</f>
        <v>362</v>
      </c>
      <c r="D80" s="550" t="s">
        <v>563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575</v>
      </c>
      <c r="B81" s="550">
        <v>2</v>
      </c>
      <c r="C81" s="550">
        <f>C76</f>
        <v>353.5</v>
      </c>
      <c r="D81" s="550" t="s">
        <v>563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0.074225765618890452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570</v>
      </c>
      <c r="B82" s="550">
        <v>2</v>
      </c>
      <c r="C82" s="550">
        <f>(15.6*(B76-1)+4)</f>
        <v>347.2</v>
      </c>
      <c r="D82" s="550" t="s">
        <v>563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0.11133864842833569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574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577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0.0053018404013493187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578</v>
      </c>
      <c r="B85" s="550">
        <v>1</v>
      </c>
      <c r="C85" s="552">
        <v>100</v>
      </c>
      <c r="D85" s="550" t="s">
        <v>563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0.0035345602675662122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5203.0825</v>
      </c>
      <c r="AX85" s="310"/>
      <c r="AY85" s="310"/>
      <c r="AZ85" s="310"/>
      <c r="BA85" s="310">
        <f>SUBTOTAL(109,Table80102113[price])</f>
        <v>94601.5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0.0007510940568578201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583</v>
      </c>
      <c r="B86" s="550"/>
      <c r="C86" s="550">
        <v>4</v>
      </c>
      <c r="D86" s="550" t="s">
        <v>370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0.0007510940568578201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0.00033136502508433242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584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0.00033136502508433242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0.0021207361605397271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581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582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0.021207361605397275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0.0085050356438311978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585</v>
      </c>
      <c r="B90" s="550">
        <v>2</v>
      </c>
      <c r="C90" s="550"/>
      <c r="D90" s="550" t="s">
        <v>563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0.025824380954905638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586</v>
      </c>
      <c r="B91" s="550"/>
      <c r="C91" s="550">
        <f>ROUNDUP(((C76*B76)/100),0)</f>
        <v>82</v>
      </c>
      <c r="D91" s="550" t="s">
        <v>563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587</v>
      </c>
      <c r="B92" s="788"/>
      <c r="C92" s="788">
        <f>C91</f>
        <v>82</v>
      </c>
      <c r="D92" s="550" t="s">
        <v>563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0.010603680802698638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588</v>
      </c>
      <c r="B93" s="550" t="s">
        <v>589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590</v>
      </c>
      <c r="B94" s="550" t="s">
        <v>591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0.0026509202006746594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592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0.013254601003373296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0.0044830006060298123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0.0058379153752635268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0.00023858281806071933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0.00026509202006746589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0.00023858281806071933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0.00026509202006746589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0.00011045500836144413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0.00017672801337831061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0.00066273005016866484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0.00066273005016866484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0.00035345602675662121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0.00035345602675662121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0.0055227504180722069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0.0055227504180722069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0.0027834662107083922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0.0027834662107083922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0.018026257364587683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0.022532821705734604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0.032419281320806258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0.038400051840217254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94601.5</v>
      </c>
      <c r="BQ117" s="252">
        <f>BH117*Table1613687798109[[#This Row],[سعر الشبك ]]</f>
        <v>94601.5</v>
      </c>
      <c r="BR117" s="241">
        <f>(BQ117)/$R$68</f>
        <v>0.41796837894020628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0.54587748772292577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94601.5</v>
      </c>
      <c r="BQ118" s="240">
        <f>BH118*Table1613687798109[[#This Row],[سعر الشبك ]]</f>
        <v>9460.15</v>
      </c>
      <c r="BR118" s="241">
        <f>(BQ118)/$R$68</f>
        <v>0.041796837894020625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0.054587748772292582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104061.65</v>
      </c>
      <c r="BR119" s="244">
        <f>Table1613687798109[[#Totals],[اجمالي]]/$R$68</f>
        <v>0.45976521683422689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0.60046523649521844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0.0016347341237493733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0.0017672801337831061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0.0016347341237493733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0.0017672801337831061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0.00490420237124812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0.0053018404013493187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0.010957136829455257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0.01148732086959019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0.0082178526220914438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0.0086154906521926419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0.010957136829455257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0.01148732086959019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0.0116640488829685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0.0116640488829685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0.0099409507525299711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0.0099409507525299711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0.020323721538505722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0.020323721538505722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0.0037112882809445229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0.0037112882809445229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0.083945806354697547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0.086066542515237265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152124.31666666665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195123.53333333336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197761.61166666666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253660.59333333338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4B1C9664-F146-4BFC-818F-6DBBC3FF522F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425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Φωτισμου'!B9</f>
        <v>5</v>
      </c>
    </row>
    <row r="19" ht="18" customHeight="1">
      <c r="A19" s="637" t="s">
        <v>432</v>
      </c>
      <c r="B19" s="638"/>
      <c r="C19" s="14">
        <f>'Format Φωτισμου'!B12</f>
        <v>15</v>
      </c>
    </row>
    <row r="20" ht="18" customHeight="1">
      <c r="A20" s="637" t="s">
        <v>433</v>
      </c>
      <c r="B20" s="638"/>
      <c r="C20" s="14">
        <f>C19/C18</f>
        <v>3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309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