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<sst xmlns="http://schemas.openxmlformats.org/spreadsheetml/2006/main" count="598" uniqueCount="598">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</sst>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62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532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521" totalsRowDxfId="2520"/>
    <tableColumn id="2" name="عدد" dataDxfId="2567" totalsRowDxfId="2520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BP28</calculatedColumnFormula>
    </tableColumn>
    <tableColumn id="8" name="اجمالي" totalsRowFunction="sum" dataDxfId="2559" totalsRowDxfId="2595">
      <calculatedColumnFormula>BH98*BP99</calculatedColumnFormula>
    </tableColumn>
    <tableColumn id="9" name="%" totalsRowFunction="custom" totalsRowDxfId="259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521" totalsRowDxfId="2520"/>
    <tableColumn id="2" name="عدد" dataDxfId="2567" totalsRowDxfId="2520">
      <calculatedColumnFormula>IF((#REF!="بالتات"),0,4)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614" totalsRowDxfId="2594">
      <calculatedColumnFormula>Sheet2!AW26</calculatedColumnFormula>
    </tableColumn>
    <tableColumn id="8" name="اجمالي" totalsRowFunction="sum" dataDxfId="2559" totalsRowDxfId="2595">
      <calculatedColumnFormula>BH84*BP84</calculatedColumnFormula>
    </tableColumn>
    <tableColumn id="9" name="%" totalsRowFunction="custom" totalsRowDxfId="259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521"/>
    <tableColumn id="2" name="عدد" totalsRowFunction="sum" dataDxfId="2521">
      <calculatedColumnFormula>BH90*4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(Table16627394105[[#This Row],[Column1]]*Table16627394105[[#This Row],[Column2]])*Table16627394105[[#This Row],[عدد]]</calculatedColumnFormula>
    </tableColumn>
    <tableColumn id="4" name="الوحده" dataDxfId="2521"/>
    <tableColumn id="5" name="الوزن" totalsRowFunction="custom">
      <totalsRowFormula>(BN93*BH93)+(BH94*BN94)</totalsRowFormula>
    </tableColumn>
    <tableColumn id="6" name="سعر الكيلو" dataDxfId="2567"/>
    <tableColumn id="7" name="سعر الشبك " dataDxfId="2583">
      <calculatedColumnFormula>BN92*$S$2/1000</calculatedColumnFormula>
    </tableColumn>
    <tableColumn id="8" name="اجمالي" totalsRowFunction="sum" dataDxfId="255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572"/>
    <tableColumn id="2" name="المعدل" dataDxfId="2572"/>
    <tableColumn id="3" name="الوحدة" dataDxfId="2572"/>
    <tableColumn id="4" name="Column4" dataDxfId="256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IF((تسعير!$AU$14="بالتات"),0,BH119-2)</calculatedColumnFormula>
    </tableColumn>
    <tableColumn id="3" name="بيان" totalsRowLabel="Total" dataDxfId="1371" totalsRowDxfId="2520"/>
    <tableColumn id="5" name="اليومية / الاجرة" dataDxfId="2615" totalsRowDxfId="2520"/>
    <tableColumn id="6" name="بدل الوجبة" dataDxfId="2616" totalsRowDxfId="2520"/>
    <tableColumn id="11" name="موقع العمل" dataDxfId="2557" totalsRowDxfId="2520">
      <calculatedColumnFormula>تسعير!$BE$44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SUMIF(Table17697899110[Column1],Table1612677697108[[#This Row],[موقع العمل]],$AE$2:$AE$8)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Table1612677697108[[#This Row],[Column12]]</calculatedColumnFormula>
    </tableColumn>
    <tableColumn id="8" name="اجمالي" totalsRowFunction="sum" dataDxfId="2559" totalsRowDxfId="2595">
      <calculatedColumnFormula>BH122*BP122</calculatedColumnFormula>
    </tableColumn>
    <tableColumn id="9" name="%" totalsRowFunction="custom" totalsRowDxfId="2599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557"/>
    <tableColumn id="2" name="عدد" dataDxfId="2602">
      <calculatedColumnFormula>IF((BL133="الاسكندرية"),0.25,0.1)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BQ116</calculatedColumnFormula>
    </tableColumn>
    <tableColumn id="8" name="اجمالي" totalsRowFunction="sum" dataDxfId="255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IF((BL133="المقطم"),0.3,IF((BL133="التجمع"),0.3,IF((BL133="الشيخ زايد"),0.3,IF((BL133="الاسكندرية"),0.5,0.35))))</calculatedColumnFormula>
    </tableColumn>
    <tableColumn id="2" name="Column2" dataDxfId="260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521" totalsRowDxfId="2520"/>
    <tableColumn id="2" name="عدد" dataDxfId="2521" totalsRowDxfId="2520">
      <calculatedColumnFormula>IF(OR((BI69="B11"),(BI69="B12"),(BI69="B21"),(BI69="B22"),(BI69="B31"),(BI69="B32")),3,0)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(Table15880101112[[#This Row],[Column1]]+Table15880101112[[#This Row],[Column2]])*12*Table15880101112[[#This Row],[عدد]]</calculatedColumnFormula>
    </tableColumn>
    <tableColumn id="4" name="الوحده" dataDxfId="2521" totalsRowDxfId="2520"/>
    <tableColumn id="5" name="الوزن" totalsRowFunction="custom" totalsRowDxfId="2520">
      <totalsRowFormula>(BN76*BH76)+(BN77*BH77)+(BN78*BH78)+(BN79*BH79)</totalsRowFormula>
    </tableColumn>
    <tableColumn id="6" name="اجمالي المسطح" totalsRowFunction="sum" dataDxfId="2567" totalsRowDxfId="2520">
      <calculatedColumnFormula>Table15880101112[[#This Row],[المسطح]]*Table15880101112[[#This Row],[عدد]]</calculatedColumnFormula>
    </tableColumn>
    <tableColumn id="7" name="سعر الشبك " dataDxfId="2603" totalsRowDxfId="2594">
      <calculatedColumnFormula>BN76*$S$2/1000</calculatedColumnFormula>
    </tableColumn>
    <tableColumn id="8" name="اجمالي" totalsRowFunction="sum" dataDxfId="2559" totalsRowDxfId="2595">
      <calculatedColumnFormula>BH76*BP76</calculatedColumnFormula>
    </tableColumn>
    <tableColumn id="9" name="%" totalsRowFunction="custom" totalsRowDxfId="2599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521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523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611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1397" totalsRowDxfId="2617"/>
    <tableColumn id="4" name="Column2" dataDxfId="1397" totalsRowDxfId="2612"/>
    <tableColumn id="5" name="wt/m" dataDxfId="2618" totalsRowDxfId="1398"/>
    <tableColumn id="6" name="price" totalsRowFunction="sum" dataDxfId="2613" totalsRowDxfId="1398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619"/>
    <tableColumn id="2" name="عدد" totalsRowFunction="custom" dataDxfId="2620" totalsRowDxfId="2621">
      <totalsRowFormula>(Table80102114[[#Totals],[price]]*1.1)/(F1*D1/10000)</totalsRowFormula>
    </tableColumn>
    <tableColumn id="3" name="طول" dataDxfId="1401" totalsRowDxfId="2622"/>
    <tableColumn id="4" name="Column2" dataDxfId="2623" totalsRowDxfId="2617"/>
    <tableColumn id="5" name="wt/m" dataDxfId="2620" totalsRowDxfId="2612"/>
    <tableColumn id="6" name="price" totalsRowFunction="sum" dataDxfId="1401" totalsRowDxfId="262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1401" totalsRowDxfId="145">
  <autoFilter ref="A75:F96"/>
  <tableColumns count="6">
    <tableColumn id="1" name="Column1" totalsRowLabel="Total" dataDxfId="2625" totalsRowDxfId="1399"/>
    <tableColumn id="2" name="عدد" totalsRowFunction="custom" dataDxfId="2623" totalsRowDxfId="1400">
      <totalsRowFormula>(Table80102114115[[#Totals],[price]]*1.1)/(F74*D74/10000)</totalsRowFormula>
    </tableColumn>
    <tableColumn id="3" name="طول" dataDxfId="2620" totalsRowDxfId="2622"/>
    <tableColumn id="4" name="Column2" dataDxfId="2626" totalsRowDxfId="2617"/>
    <tableColumn id="5" name="wt/m" dataDxfId="2625" totalsRowDxfId="2612"/>
    <tableColumn id="6" name="price" totalsRowFunction="sum" dataDxfId="2623" totalsRowDxfId="1398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521"/>
    <tableColumn id="2" name="عدد" dataDxfId="2521">
      <calculatedColumnFormula>IF((F74="الاسكندرية"),0.25,0.1)</calculatedColumnFormula>
    </tableColumn>
    <tableColumn id="3" name="بيان برجولا رويال" totalsRowLabel="Total" dataDxfId="2521"/>
    <tableColumn id="12" name="Column12" totalsRowFunction="sum" dataDxfId="1366"/>
    <tableColumn id="5" name="Column1" dataDxfId="2521"/>
    <tableColumn id="11" name="العرض" dataDxfId="2533"/>
    <tableColumn id="10" name="الامتداد" dataDxfId="2519"/>
    <tableColumn id="4" name="سعر المتر" dataDxfId="2534"/>
    <tableColumn id="6" name="Column2" dataDxfId="225"/>
    <tableColumn id="7" name="سعر البرجولا كاملة" dataDxfId="2522">
      <calculatedColumnFormula>(K57)</calculatedColumnFormula>
    </tableColumn>
    <tableColumn id="8" name="اجمالي" totalsRowFunction="sum" dataDxfId="1363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521" totalsRowDxfId="2520"/>
    <tableColumn id="2" name="عدد" dataDxfId="196" totalsRowDxfId="2520">
      <calculatedColumnFormula>B60</calculatedColumnFormula>
    </tableColumn>
    <tableColumn id="3" name="بيان" totalsRowLabel="Total" dataDxfId="22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1369" totalsRowDxfId="2520">
      <calculatedColumnFormula>تسعير!$T$4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SUMIF(Table17[Column1],Table1612[[#This Row],[موقع العمل]],$T$2:$T$20)</calculatedColumnFormula>
    </tableColumn>
    <tableColumn id="4" name="عدد الايام" dataDxfId="221" totalsRowDxfId="2520"/>
    <tableColumn id="7" name="اجمالي التكلفة للعامل" dataDxfId="220" totalsRowDxfId="2536">
      <calculatedColumnFormula>Table1612[[#This Row],[Column12]]</calculatedColumnFormula>
    </tableColumn>
    <tableColumn id="8" name="اجمالي" totalsRowFunction="sum" dataDxfId="1363" totalsRowDxfId="2537">
      <calculatedColumnFormula>B63*J63</calculatedColumnFormula>
    </tableColumn>
    <tableColumn id="9" name="%" totalsRowFunction="custom" totalsRowDxfId="253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539"/>
    <tableColumn id="4" name="بدل الوجبة" dataDxfId="1373"/>
    <tableColumn id="5" name="دبابة" dataDxfId="2540"/>
    <tableColumn id="6" name="جامبو" dataDxfId="2539"/>
    <tableColumn id="7" name="الاقامة" dataDxfId="137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2541"/>
    <tableColumn id="4" name="Column22" dataDxfId="2533"/>
    <tableColumn id="5" name="Column23" dataDxfId="1369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53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521" totalsRowDxfId="2520"/>
    <tableColumn id="2" name="عدد" dataDxfId="2521" totalsRowDxfId="252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27" totalsRowDxfId="2542">
      <calculatedColumnFormula>(Table118[[#This Row],[Column1]]+Table118[[#This Row],[Column2]])*12*Table118[[#This Row],[عدد]]</calculatedColumnFormula>
    </tableColumn>
    <tableColumn id="4" name="الوحده" dataDxfId="2521" totalsRowDxfId="2520"/>
    <tableColumn id="5" name="الوزن" totalsRowFunction="custom" dataDxfId="2521" totalsRowDxfId="2520">
      <totalsRowFormula>H9*B9+B8*H8+H7*B7</totalsRowFormula>
    </tableColumn>
    <tableColumn id="6" name="اجمالي الميزان" totalsRowFunction="sum" dataDxfId="2514" totalsRowDxfId="2520">
      <calculatedColumnFormula>Table118[[#This Row],[الوزن]]*Table118[[#This Row],[عدد]]</calculatedColumnFormula>
    </tableColumn>
    <tableColumn id="7" name="سعر الشبك " dataDxfId="1361" totalsRowDxfId="2524">
      <calculatedColumnFormula>H6*$H$2/1000</calculatedColumnFormula>
    </tableColumn>
    <tableColumn id="8" name="اجمالي" totalsRowFunction="sum" dataDxfId="2543" totalsRowDxfId="2525">
      <calculatedColumnFormula>B6*J6</calculatedColumnFormula>
    </tableColumn>
    <tableColumn id="9" name="%" totalsRowFunction="custom" totalsRowDxfId="2526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521" totalsRowDxfId="2520"/>
    <tableColumn id="2" name="عدد" dataDxfId="2512" totalsRowDxfId="252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1358" totalsRowDxfId="252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521" totalsRowDxfId="2520">
      <calculatedColumnFormula>Sheet2!B7</calculatedColumnFormula>
    </tableColumn>
    <tableColumn id="7" name="سعر الشبك " dataDxfId="1361" totalsRowDxfId="1362"/>
    <tableColumn id="8" name="اجمالي" totalsRowFunction="sum" dataDxfId="2531" totalsRowDxfId="1364">
      <calculatedColumnFormula>B36*Table1319[[#This Row],[سعر الكيلو]]</calculatedColumnFormula>
    </tableColumn>
    <tableColumn id="9" name="%" totalsRowFunction="custom" totalsRowDxfId="136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521"/>
    <tableColumn id="2" name="عدد" dataDxfId="2521">
      <calculatedColumnFormula>IF((تسعير!X30&lt;800),0,IF(AND((تسعير!X30&gt;800),(600&gt;=تسعير!AA32)),1,0))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29">
      <calculatedColumnFormula>(Table1421[[#This Row],[Column1]]+Table1421[[#This Row],[Column2]])*12*Table1421[[#This Row],[عدد]]</calculatedColumnFormula>
    </tableColumn>
    <tableColumn id="4" name="الوحده" dataDxfId="2521"/>
    <tableColumn id="5" name="الوزن" dataDxfId="2521"/>
    <tableColumn id="6" name="سعر الكيلو" totalsRowFunction="sum" dataDxfId="2519">
      <calculatedColumnFormula>Table1421[[#This Row],[الوزن]]*Table1421[[#This Row],[عدد]]</calculatedColumnFormula>
    </tableColumn>
    <tableColumn id="7" name="سعر الشبك " dataDxfId="2544">
      <calculatedColumnFormula>H13*$I$2/1000</calculatedColumnFormula>
    </tableColumn>
    <tableColumn id="8" name="اجمالي" totalsRowFunction="sum" dataDxfId="2523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521" totalsRowDxfId="2520"/>
    <tableColumn id="2" name="عدد" dataDxfId="2517" totalsRowDxfId="252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1362">
      <calculatedColumnFormula>Sheet2!B22</calculatedColumnFormula>
    </tableColumn>
    <tableColumn id="8" name="اجمالي" totalsRowFunction="sum" dataDxfId="2545" totalsRowDxfId="1364">
      <calculatedColumnFormula>B18*J18</calculatedColumnFormula>
    </tableColumn>
    <tableColumn id="9" name="%" totalsRowFunction="custom" totalsRowDxfId="1365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521"/>
    <tableColumn id="2" name="عدد" totalsRowFunction="count" dataDxfId="2514">
      <calculatedColumnFormula>B30*4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(Table1624[[#This Row],[Column1]]*Table1624[[#This Row],[Column2]])*Table1624[[#This Row],[عدد]]</calculatedColumnFormula>
    </tableColumn>
    <tableColumn id="4" name="الوحده" dataDxfId="2521"/>
    <tableColumn id="5" name="الوزن" totalsRowFunction="custom">
      <totalsRowFormula>H31*B31+H32*B32</totalsRowFormula>
    </tableColumn>
    <tableColumn id="6" name="سعر الكيلو" dataDxfId="2512">
      <calculatedColumnFormula>$H$2/1000</calculatedColumnFormula>
    </tableColumn>
    <tableColumn id="7" name="سعر الشبك " dataDxfId="2522">
      <calculatedColumnFormula>H31*$H$2/1000</calculatedColumnFormula>
    </tableColumn>
    <tableColumn id="8" name="اجمالي" totalsRowFunction="sum" dataDxfId="2543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2546"/>
    <tableColumn id="3" name="الوحدة" dataDxfId="2532"/>
    <tableColumn id="4" name="Column4" dataDxfId="136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521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69"/>
    <tableColumn id="11" name="Column2" dataDxfId="2547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2548"/>
    <tableColumn id="7" name="سعر الشبك " dataDxfId="1379">
      <calculatedColumnFormula>Sheet2!B31</calculatedColumnFormula>
    </tableColumn>
    <tableColumn id="8" name="اجمالي" totalsRowFunction="sum" dataDxfId="2531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521"/>
    <tableColumn id="2" name="عدد" dataDxfId="2521">
      <calculatedColumnFormula>IF((F79="الاسكندرية"),0.25,0.1)</calculatedColumnFormula>
    </tableColumn>
    <tableColumn id="3" name="بيان برجولا رويال" totalsRowLabel="Total" dataDxfId="2521"/>
    <tableColumn id="12" name="Column12" totalsRowFunction="sum" dataDxfId="2549"/>
    <tableColumn id="5" name="Column1" dataDxfId="2521"/>
    <tableColumn id="11" name="العرض" dataDxfId="2541"/>
    <tableColumn id="10" name="الامتداد" dataDxfId="1358"/>
    <tableColumn id="4" name="سعر المتر" dataDxfId="2534"/>
    <tableColumn id="6" name="Column2" dataDxfId="2550"/>
    <tableColumn id="7" name="سعر البرجولا كاملة" dataDxfId="2551">
      <calculatedColumnFormula>K58</calculatedColumnFormula>
    </tableColumn>
    <tableColumn id="8" name="اجمالي" totalsRowFunction="sum" dataDxfId="2523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521" totalsRowDxfId="2520"/>
    <tableColumn id="2" name="عدد" dataDxfId="2533" totalsRowDxfId="2520">
      <calculatedColumnFormula>B65</calculatedColumnFormula>
    </tableColumn>
    <tableColumn id="3" name="بيان" totalsRowLabel="Total" dataDxfId="2552" totalsRowDxfId="2520"/>
    <tableColumn id="5" name="اليومية / الاجرة" dataDxfId="120" totalsRowDxfId="2520"/>
    <tableColumn id="6" name="بدل الوجبة" dataDxfId="1372" totalsRowDxfId="2520"/>
    <tableColumn id="11" name="موقع العمل" dataDxfId="1369" totalsRowDxfId="2520">
      <calculatedColumnFormula>تسعير!$T$24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SUMIF(Table1731[Column1],Table161229[[#This Row],[موقع العمل]],$T$2:$T$26)</calculatedColumnFormula>
    </tableColumn>
    <tableColumn id="4" name="عدد الايام" dataDxfId="1380" totalsRowDxfId="2520"/>
    <tableColumn id="7" name="اجمالي التكلفة للعامل" dataDxfId="1381" totalsRowDxfId="2553">
      <calculatedColumnFormula>Table161229[[#This Row],[Column12]]</calculatedColumnFormula>
    </tableColumn>
    <tableColumn id="8" name="اجمالي" totalsRowFunction="sum" dataDxfId="1363" totalsRowDxfId="2554">
      <calculatedColumnFormula>B68*J68</calculatedColumnFormula>
    </tableColumn>
    <tableColumn id="9" name="%" totalsRowFunction="custom" totalsRowDxfId="25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556" totalsRowDxfId="2520"/>
    <tableColumn id="2" name="عدد" dataDxfId="2547" totalsRowDxfId="2520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547" totalsRowDxfId="2520"/>
    <tableColumn id="11" name="Column2" dataDxfId="2541" totalsRowDxfId="2520"/>
    <tableColumn id="10" name="Column1" dataDxfId="2533" totalsRowDxfId="2520"/>
    <tableColumn id="12" name="Column12" totalsRowFunction="sum" dataDxfId="213" totalsRowDxfId="1367"/>
    <tableColumn id="4" name="الوحده" dataDxfId="1370" totalsRowDxfId="2520"/>
    <tableColumn id="5" name="الوزن" dataDxfId="1369" totalsRowDxfId="2520"/>
    <tableColumn id="6" name="سعر الكيلو" dataDxfId="2557" totalsRowDxfId="2520"/>
    <tableColumn id="7" name="سعر الشبك " dataDxfId="2558" totalsRowDxfId="2536"/>
    <tableColumn id="8" name="اجمالي" totalsRowFunction="sum" dataDxfId="2559" totalsRowDxfId="2537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532"/>
    <tableColumn id="2" name="خارجي" dataDxfId="1368"/>
    <tableColumn id="3" name="داخلي" dataDxfId="2560"/>
    <tableColumn id="4" name="بدل الوجبة" dataDxfId="2546"/>
    <tableColumn id="5" name="دبابة" dataDxfId="1368"/>
    <tableColumn id="6" name="جامبو" dataDxfId="2561"/>
    <tableColumn id="7" name="الاقامة" dataDxfId="256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254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73" totalsRowDxfId="887"/>
    <tableColumn id="6" name="الطول بالمتر" dataDxfId="2562" totalsRowDxfId="1383"/>
    <tableColumn id="5" name="وزن المتر " dataDxfId="2540" totalsRowDxfId="2563"/>
    <tableColumn id="4" name="سعر الكيلو" dataDxfId="2539" totalsRowDxfId="1383"/>
    <tableColumn id="3" name="اجمالي عدد " totalsRowFunction="custom" totalsRowDxfId="2564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565" totalsRowDxfId="2563"/>
    <tableColumn id="10" name="Column2" dataDxfId="2562" totalsRowDxfId="1383"/>
    <tableColumn id="11" name="Column3" dataDxfId="2540" totalsRowDxfId="1383"/>
    <tableColumn id="12" name="Column4" dataDxfId="2539" totalsRowDxfId="25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44" totalsRowDxfId="2524">
      <calculatedColumnFormula>Sheet2!B2</calculatedColumnFormula>
    </tableColumn>
    <tableColumn id="8" name="اجمالي" totalsRowFunction="sum" dataDxfId="2559" totalsRowDxfId="2525">
      <calculatedColumnFormula>M26*U26</calculatedColumnFormula>
    </tableColumn>
    <tableColumn id="9" name="%" totalsRowFunction="custom" totalsRowDxfId="253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6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2569">
      <calculatedColumnFormula>Sheet2!B24</calculatedColumnFormula>
    </tableColumn>
    <tableColumn id="8" name="اجمالي" totalsRowFunction="sum" dataDxfId="2559" totalsRowDxfId="2570">
      <calculatedColumnFormula>M11*U11</calculatedColumnFormula>
    </tableColumn>
    <tableColumn id="9" name="%" totalsRowFunction="custom" totalsRowDxfId="252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71">
      <calculatedColumnFormula>(Table1662[[#This Row],[Column1]]*Table1662[[#This Row],[Column2]])*Table1662[[#This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22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546"/>
    <tableColumn id="2" name="المعدل" dataDxfId="2532"/>
    <tableColumn id="3" name="الوحدة" dataDxfId="1368"/>
    <tableColumn id="4" name="Column4" dataDxfId="253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521" totalsRowDxfId="2520"/>
    <tableColumn id="2" name="عدد" dataDxfId="2573" totalsRowDxfId="2520">
      <calculatedColumnFormula>IF((تسعير!$AU$14="بالتات"),0,M52-2)</calculatedColumnFormula>
    </tableColumn>
    <tableColumn id="3" name="بيان" totalsRowLabel="Total" dataDxfId="1371" totalsRowDxfId="2520"/>
    <tableColumn id="5" name="اليومية / الاجرة" dataDxfId="2574" totalsRowDxfId="2520"/>
    <tableColumn id="6" name="بدل الوجبة" dataDxfId="2575" totalsRowDxfId="2520"/>
    <tableColumn id="11" name="موقع العمل" dataDxfId="2557" totalsRowDxfId="2520">
      <calculatedColumnFormula>تسعير!$AT$4</calculatedColumnFormula>
    </tableColumn>
    <tableColumn id="10" name="شيفت العمل" dataDxfId="2521" totalsRowDxfId="2520"/>
    <tableColumn id="12" name="Column12" totalsRowFunction="sum" dataDxfId="2549" totalsRowDxfId="2542">
      <calculatedColumnFormula>SUMIF(Table1769[Column1],Table161267[[#This Row],[موقع العمل]],$AE$2:$AE$8)</calculatedColumnFormula>
    </tableColumn>
    <tableColumn id="4" name="عدد الايام" dataDxfId="2576" totalsRowDxfId="2520"/>
    <tableColumn id="7" name="اجمالي التكلفة للعامل" dataDxfId="2577" totalsRowDxfId="2553">
      <calculatedColumnFormula>Table161267[[#This Row],[Column12]]</calculatedColumnFormula>
    </tableColumn>
    <tableColumn id="8" name="اجمالي" totalsRowFunction="sum" dataDxfId="2559" totalsRowDxfId="2554">
      <calculatedColumnFormula>M55*U55</calculatedColumnFormula>
    </tableColumn>
    <tableColumn id="9" name="%" totalsRowFunction="custom" totalsRowDxfId="257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557"/>
    <tableColumn id="2" name="عدد" dataDxfId="2556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1370"/>
    <tableColumn id="5" name="الوزن" dataDxfId="2557"/>
    <tableColumn id="6" name="سعر الكيلو" dataDxfId="2557"/>
    <tableColumn id="7" name="سعر الشبك " dataDxfId="1379">
      <calculatedColumnFormula>V48</calculatedColumnFormula>
    </tableColumn>
    <tableColumn id="8" name="اجمالي" totalsRowFunction="sum" dataDxfId="255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IF((Q66="المقطم"),0.3,IF((Q66="التجمع"),0.3,IF((Q66="الشيخ زايد"),0.3,IF((Q66="الاسكندرية"),0.5,0.35))))</calculatedColumnFormula>
    </tableColumn>
    <tableColumn id="2" name="Column2" dataDxfId="25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IF((N2="A1"),2,IF((N2="A2"),3,IF((N2="B1"),2.5,IF((N2="B2"),3,0))))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35">
      <calculatedColumnFormula>(Table158[[#This Row],[Column1]]+Table158[[#This Row],[Column2]])*12*Table158[[#This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totalsRowFunction="sum" dataDxfId="2567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73" totalsRowDxfId="2564"/>
    <tableColumn id="6" name="الطول بالمتر" dataDxfId="2580" totalsRowDxfId="2563"/>
    <tableColumn id="5" name="وزن المتر " dataDxfId="2580" totalsRowDxfId="2581"/>
    <tableColumn id="4" name="سعر الكيلو" dataDxfId="2580" totalsRowDxfId="2566"/>
    <tableColumn id="3" name="اجمالي عدد " totalsRowFunction="custom" totalsRowDxfId="2564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580" totalsRowDxfId="2563"/>
    <tableColumn id="10" name="Column2" dataDxfId="2580" totalsRowDxfId="1383"/>
    <tableColumn id="11" name="Column3" dataDxfId="2580" totalsRowDxfId="2582"/>
    <tableColumn id="12" name="Column4" dataDxfId="2580" totalsRowDxfId="258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36">
      <calculatedColumnFormula>Sheet2!B2</calculatedColumnFormula>
    </tableColumn>
    <tableColumn id="8" name="اجمالي" totalsRowFunction="sum" dataDxfId="2559" totalsRowDxfId="2537">
      <calculatedColumnFormula>M26*U26</calculatedColumnFormula>
    </tableColumn>
    <tableColumn id="9" name="%" totalsRowFunction="custom" totalsRowDxfId="25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24">
      <calculatedColumnFormula>Sheet2!B24</calculatedColumnFormula>
    </tableColumn>
    <tableColumn id="8" name="اجمالي" totalsRowFunction="sum" dataDxfId="2559" totalsRowDxfId="2525">
      <calculatedColumnFormula>M11*U11</calculatedColumnFormula>
    </tableColumn>
    <tableColumn id="9" name="%" totalsRowFunction="custom" totalsRowDxfId="253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(Table166241[[#This Row],[Column1]]*Table166241[[#This Row],[Column2]])*Table166241[[#This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83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521" totalsRowDxfId="2520"/>
    <tableColumn id="2" name="عدد" dataDxfId="2533" totalsRowDxfId="2520">
      <calculatedColumnFormula>IF((تسعير!$BF$14="بالتات"),0,M52-2)</calculatedColumnFormula>
    </tableColumn>
    <tableColumn id="3" name="بيان" totalsRowLabel="Total" dataDxfId="2552" totalsRowDxfId="2520"/>
    <tableColumn id="5" name="اليومية / الاجرة" dataDxfId="1371" totalsRowDxfId="2520"/>
    <tableColumn id="6" name="بدل الوجبة" dataDxfId="2550" totalsRowDxfId="2520"/>
    <tableColumn id="11" name="موقع العمل" dataDxfId="2557" totalsRowDxfId="2520">
      <calculatedColumnFormula>تسعير!$BE$4</calculatedColumnFormula>
    </tableColumn>
    <tableColumn id="10" name="شيفت العمل" dataDxfId="2521" totalsRowDxfId="2520"/>
    <tableColumn id="12" name="Column12" totalsRowFunction="sum" dataDxfId="2584" totalsRowDxfId="2585"/>
    <tableColumn id="4" name="عدد الايام" dataDxfId="1380" totalsRowDxfId="2520"/>
    <tableColumn id="7" name="اجمالي التكلفة للعامل" dataDxfId="1381" totalsRowDxfId="1362">
      <calculatedColumnFormula>Table16126744[[#This Row],[Column12]]</calculatedColumnFormula>
    </tableColumn>
    <tableColumn id="8" name="اجمالي" totalsRowFunction="sum" dataDxfId="2559" totalsRowDxfId="1364">
      <calculatedColumnFormula>M55*U55</calculatedColumnFormula>
    </tableColumn>
    <tableColumn id="9" name="%" totalsRowFunction="custom" totalsRowDxfId="252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557"/>
    <tableColumn id="2" name="عدد" dataDxfId="1369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V48</calculatedColumnFormula>
    </tableColumn>
    <tableColumn id="8" name="اجمالي" totalsRowFunction="sum" dataDxfId="255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580"/>
    <tableColumn id="2" name="خارجي" dataDxfId="2580"/>
    <tableColumn id="3" name="داخلي" dataDxfId="2580"/>
    <tableColumn id="4" name="بدل الوجبة" dataDxfId="2580"/>
    <tableColumn id="5" name="دبابة" dataDxfId="2580"/>
    <tableColumn id="6" name="جامبو" dataDxfId="2580"/>
    <tableColumn id="7" name="الاقامة" dataDxfId="25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57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IF((N2="c1"),3,IF((N2="c2"),4,IF((N2="d1"),4,IF((N2="d2"),5,0))))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84">
      <calculatedColumnFormula>(Table15855[[#This Row],[Column1]]+Table15855[[#This Row],[Column2]])*12*Table15855[[#This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dataDxfId="2567"/>
    <tableColumn id="7" name="سعر الشبك " dataDxfId="1387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580"/>
    <tableColumn id="2" name="المقاس" dataDxfId="258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512" totalsRowDxfId="2513"/>
    <tableColumn id="11" name="Column2" dataDxfId="1358" totalsRowDxfId="1359"/>
    <tableColumn id="10" name="Column1" dataDxfId="2514" totalsRowDxfId="2515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512" totalsRowDxfId="2513"/>
    <tableColumn id="5" name="الوزن" totalsRowFunction="custom" totalsRowDxfId="1359">
      <totalsRowFormula>(H6*B6)+(H8*B8)+(H7*B7)</totalsRowFormula>
    </tableColumn>
    <tableColumn id="6" name="مسطح" dataDxfId="180" totalsRowDxfId="1359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5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580" totalsRowDxfId="775"/>
    <tableColumn id="2" name="عدد/الشمسية" dataDxfId="774" totalsRowDxfId="771"/>
    <tableColumn id="3" name="سعر الوحدة" dataDxfId="2580" totalsRowDxfId="1388"/>
    <tableColumn id="4" name="قيمة" totalsRowFunction="sum" dataDxfId="258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580"/>
    <tableColumn id="2" name="Column2" dataDxfId="25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1373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5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580" totalsRowDxfId="2568"/>
    <tableColumn id="2" name="عدد/الشمسية" dataDxfId="751" totalsRowDxfId="2542"/>
    <tableColumn id="3" name="سعر الوحدة" dataDxfId="2580" totalsRowDxfId="2528"/>
    <tableColumn id="4" name="قيمة" totalsRowFunction="sum" dataDxfId="2580" totalsRowDxfId="136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58" totalsRowDxfId="2516"/>
    <tableColumn id="2" name="عدد" dataDxfId="2512" totalsRowDxfId="251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58" totalsRowDxfId="2513"/>
    <tableColumn id="11" name="Column2" dataDxfId="2517" totalsRowDxfId="2518"/>
    <tableColumn id="10" name="Column1" dataDxfId="2514" totalsRowDxfId="2516"/>
    <tableColumn id="12" name="Column12" dataDxfId="1358" totalsRowDxfId="2515"/>
    <tableColumn id="4" name="الوحده" totalsRowLabel="total" dataDxfId="2519" totalsRowDxfId="2513"/>
    <tableColumn id="5" name="الوزن" dataDxfId="2517" totalsRowDxfId="1359"/>
    <tableColumn id="6" name="سعر الكيلو" dataDxfId="2514" totalsRowDxfId="2520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580"/>
    <tableColumn id="2" name="Column2" dataDxfId="25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589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59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556" totalsRowDxfId="2520">
      <calculatedColumnFormula>I28</calculatedColumnFormula>
    </tableColumn>
    <tableColumn id="3" name="بيان" totalsRowLabel="Total" dataDxfId="70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2557" totalsRowDxfId="2520">
      <calculatedColumnFormula>تسعير!$T$45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SUMIF(Table17[Column1],Table161243[[#This Row],[موقع العمل]],Table17[الاقامة])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Table161243[[#This Row],[Column12]]</calculatedColumnFormula>
    </tableColumn>
    <tableColumn id="8" name="اجمالي" totalsRowFunction="sum" dataDxfId="2559" totalsRowDxfId="2595">
      <calculatedColumnFormula>I31*Q31</calculatedColumnFormula>
    </tableColumn>
    <tableColumn id="9" name="%" totalsRowFunction="custom" totalsRowDxfId="136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54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259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2541" totalsRowDxfId="2520">
      <calculatedColumnFormula>I61</calculatedColumnFormula>
    </tableColumn>
    <tableColumn id="3" name="بيان" totalsRowLabel="Total" dataDxfId="1396" totalsRowDxfId="2520"/>
    <tableColumn id="5" name="اليومية / الاجرة" dataDxfId="2598" totalsRowDxfId="2520"/>
    <tableColumn id="6" name="بدل الوجبة" dataDxfId="1372" totalsRowDxfId="2520"/>
    <tableColumn id="11" name="موقع العمل" dataDxfId="2557" totalsRowDxfId="2520">
      <calculatedColumnFormula>تسعير!$T$63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SUMIF(Table17[Column1],Table16124360[[#This Row],[موقع العمل]],Table17[الاقامة])</calculatedColumnFormula>
    </tableColumn>
    <tableColumn id="4" name="عدد الايام" dataDxfId="2576" totalsRowDxfId="2520"/>
    <tableColumn id="7" name="اجمالي التكلفة للعامل" dataDxfId="2577" totalsRowDxfId="2594">
      <calculatedColumnFormula>Table16124360[[#This Row],[Column12]]</calculatedColumnFormula>
    </tableColumn>
    <tableColumn id="8" name="اجمالي" totalsRowFunction="sum" dataDxfId="2559" totalsRowDxfId="2595">
      <calculatedColumnFormula>I64*Q64</calculatedColumnFormula>
    </tableColumn>
    <tableColumn id="9" name="%" totalsRowFunction="custom" totalsRowDxfId="259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53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M28*U28</calculatedColumnFormula>
    </tableColumn>
    <tableColumn id="9" name="%" totalsRowFunction="custom" totalsRowDxfId="259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512"/>
    <tableColumn id="2" name="عدد" dataDxfId="1358">
      <calculatedColumnFormula>IF((تسعير!X7&lt;800),0,IF(AND((تسعير!X7&gt;800),(600&gt;=تسعير!AA9)),1,0))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12">
      <calculatedColumnFormula>(Table14[[#This Row],[Column1]]+Table14[[#This Row],[Column2]])*12*Table14[[#This Row],[عدد]]</calculatedColumnFormula>
    </tableColumn>
    <tableColumn id="4" name="الوحده" dataDxfId="2521"/>
    <tableColumn id="5" name="الوزن" totalsRowFunction="custom">
      <totalsRowFormula>H12*B12+H13*B13</totalsRowFormula>
    </tableColumn>
    <tableColumn id="6" name="مسطح" dataDxfId="2517">
      <calculatedColumnFormula>Table14[[#This Row],[Column12]]*Table14[[#This Row],[عدد]]</calculatedColumnFormula>
    </tableColumn>
    <tableColumn id="7" name="سعر الشبك " dataDxfId="2522">
      <calculatedColumnFormula>H12*$I$2/1000</calculatedColumnFormula>
    </tableColumn>
    <tableColumn id="8" name="اجمالي" totalsRowFunction="sum" dataDxfId="2523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M14*U14</calculatedColumnFormula>
    </tableColumn>
    <tableColumn id="9" name="%" totalsRowFunction="custom" totalsRowDxfId="2599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(Table166273[[#This Row],[Column1]]*Table166273[[#This Row],[Column2]])*Table166273[[#This Row],[عدد]]</calculatedColumnFormula>
    </tableColumn>
    <tableColumn id="4" name="الوحده" dataDxfId="2521"/>
    <tableColumn id="5" name="الوزن" totalsRowFunction="custom">
      <totalsRowFormula>(S23*M23)+(M24*S24)</totalsRowFormula>
    </tableColumn>
    <tableColumn id="6" name="سعر الكيلو" dataDxfId="2567"/>
    <tableColumn id="7" name="سعر الشبك " dataDxfId="2583">
      <calculatedColumnFormula>S22*$S$2/1000</calculatedColumnFormula>
    </tableColumn>
    <tableColumn id="8" name="اجمالي" totalsRowFunction="sum" dataDxfId="255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572"/>
    <tableColumn id="2" name="المعدل" dataDxfId="2572"/>
    <tableColumn id="3" name="الوحدة" dataDxfId="2572"/>
    <tableColumn id="4" name="Column4" dataDxfId="2600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572"/>
    <tableColumn id="2" name="Column2" dataDxfId="2561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521" totalsRowDxfId="2520"/>
    <tableColumn id="2" name="عدد" dataDxfId="1369" totalsRowDxfId="2520">
      <calculatedColumnFormula>IF((تسعير!$AU$14="بالتات"),0,M49-2)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601" totalsRowDxfId="2520"/>
    <tableColumn id="11" name="موقع العمل" dataDxfId="2557" totalsRowDxfId="2520">
      <calculatedColumnFormula>تسعير!$AT$24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SUMIF(Table176978[Column1],Table16126776[[#This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Table16126776[[#This Row],[Column12]]</calculatedColumnFormula>
    </tableColumn>
    <tableColumn id="8" name="اجمالي" totalsRowFunction="sum" dataDxfId="2559" totalsRowDxfId="2595">
      <calculatedColumnFormula>M52*U52</calculatedColumnFormula>
    </tableColumn>
    <tableColumn id="9" name="%" totalsRowFunction="custom" totalsRowDxfId="259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557" totalsRowDxfId="2520"/>
    <tableColumn id="2" name="عدد" dataDxfId="2602" totalsRowDxfId="2520">
      <calculatedColumnFormula>IF((Q63="الاسكندرية"),0.25,0.1)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1384" totalsRowDxfId="2591"/>
    <tableColumn id="4" name="الوحده" dataDxfId="2548" totalsRowDxfId="2520"/>
    <tableColumn id="5" name="الوزن" dataDxfId="2557" totalsRowDxfId="2520"/>
    <tableColumn id="6" name="سعر الكيلو" dataDxfId="2557" totalsRowDxfId="2520"/>
    <tableColumn id="7" name="سعر الشبك " dataDxfId="2558" totalsRowDxfId="2594">
      <calculatedColumnFormula>Table80102114[[#Totals],[price]]</calculatedColumnFormula>
    </tableColumn>
    <tableColumn id="8" name="اجمالي" totalsRowFunction="sum" dataDxfId="2559" totalsRowDxfId="2595">
      <calculatedColumnFormula>M47*Table16136877[[#This Row],[سعر الشبك ]]</calculatedColumnFormula>
    </tableColumn>
    <tableColumn id="9" name="%" totalsRowFunction="custom" totalsRowDxfId="259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IF((Q63="المقطم"),0.3,IF((Q63="التجمع"),0.3,IF((Q63="الشيخ زايد"),0.3,IF((Q63="الاسكندرية"),0.5,0.35))))</calculatedColumnFormula>
    </tableColumn>
    <tableColumn id="2" name="Column2" dataDxfId="260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(Table15880[[#This Row],[Column1]]+Table15880[[#This Row],[Column2]])*12*Table15880[[#This Row],[عدد]]</calculatedColumnFormula>
    </tableColumn>
    <tableColumn id="4" name="الوحده" dataDxfId="2521" totalsRowDxfId="2520"/>
    <tableColumn id="5" name="الوزن" totalsRowFunction="custom" totalsRowDxfId="2520">
      <totalsRowFormula>(S6*M6)+(S7*M7)+(M8*S8)+(S9*M9)</totalsRowFormula>
    </tableColumn>
    <tableColumn id="6" name="اجمالي المسطح" totalsRowFunction="sum" dataDxfId="2567" totalsRowDxfId="2520">
      <calculatedColumnFormula>Table15880[[#This Row],[المسطح]]*Table15880[[#This Row],[عدد]]</calculatedColumnFormula>
    </tableColumn>
    <tableColumn id="7" name="سعر الشبك " dataDxfId="2603" totalsRowDxfId="2594">
      <calculatedColumnFormula>S6*$S$2/1000</calculatedColumnFormula>
    </tableColumn>
    <tableColumn id="8" name="اجمالي" totalsRowFunction="sum" dataDxfId="2559" totalsRowDxfId="2595">
      <calculatedColumnFormula>M6*U6</calculatedColumnFormula>
    </tableColumn>
    <tableColumn id="9" name="%" totalsRowFunction="custom" totalsRowDxfId="2599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521" totalsRowDxfId="2520"/>
    <tableColumn id="2" name="عدد" dataDxfId="2567" totalsRowDxfId="2520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M99*U100</calculatedColumnFormula>
    </tableColumn>
    <tableColumn id="9" name="%" totalsRowFunction="custom" totalsRowDxfId="259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521" totalsRowDxfId="2520"/>
    <tableColumn id="2" name="عدد" dataDxfId="2514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1367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24">
      <calculatedColumnFormula>Sheet2!B22</calculatedColumnFormula>
    </tableColumn>
    <tableColumn id="8" name="اجمالي" totalsRowFunction="sum" dataDxfId="1363" totalsRowDxfId="2525">
      <calculatedColumnFormula>B17*J17</calculatedColumnFormula>
    </tableColumn>
    <tableColumn id="9" name="%" totalsRowFunction="custom" totalsRowDxfId="2526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521" totalsRowDxfId="2520"/>
    <tableColumn id="2" name="عدد" dataDxfId="2567" totalsRowDxfId="2520">
      <calculatedColumnFormula>IF((I70="بالتات"),0,4)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M85*U85</calculatedColumnFormula>
    </tableColumn>
    <tableColumn id="9" name="%" totalsRowFunction="custom" totalsRowDxfId="2599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521"/>
    <tableColumn id="2" name="عدد" totalsRowFunction="sum" dataDxfId="2521">
      <calculatedColumnFormula>M91*4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(Table16627394[[#This Row],[Column1]]*Table16627394[[#This Row],[Column2]])*Table16627394[[#This Row],[عدد]]</calculatedColumnFormula>
    </tableColumn>
    <tableColumn id="4" name="الوحده" dataDxfId="2521"/>
    <tableColumn id="5" name="الوزن" totalsRowFunction="custom">
      <totalsRowFormula>(S94*M94)+(M95*S95)</totalsRowFormula>
    </tableColumn>
    <tableColumn id="6" name="سعر الكيلو" dataDxfId="2567"/>
    <tableColumn id="7" name="سعر الشبك " dataDxfId="2583">
      <calculatedColumnFormula>S93*$S$2/1000</calculatedColumnFormula>
    </tableColumn>
    <tableColumn id="8" name="اجمالي" totalsRowFunction="sum" dataDxfId="255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572"/>
    <tableColumn id="2" name="Column2" dataDxfId="2532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521" totalsRowDxfId="2520"/>
    <tableColumn id="2" name="عدد" dataDxfId="2602" totalsRowDxfId="2520">
      <calculatedColumnFormula>IF((تسعير!$AU$14="بالتات"),0,M120-2)</calculatedColumnFormula>
    </tableColumn>
    <tableColumn id="3" name="بيان" totalsRowLabel="Total" dataDxfId="2604" totalsRowDxfId="2520"/>
    <tableColumn id="5" name="اليومية / الاجرة" dataDxfId="2598" totalsRowDxfId="2520"/>
    <tableColumn id="6" name="بدل الوجبة" dataDxfId="2575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SUMIF(Table17697899[Column1],Table1612677697[[#This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Table1612677697[[#This Row],[Column12]]</calculatedColumnFormula>
    </tableColumn>
    <tableColumn id="8" name="اجمالي" totalsRowFunction="sum" dataDxfId="2559" totalsRowDxfId="2595">
      <calculatedColumnFormula>M123*U123</calculatedColumnFormula>
    </tableColumn>
    <tableColumn id="9" name="%" totalsRowFunction="custom" totalsRowDxfId="259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557" totalsRowDxfId="2520"/>
    <tableColumn id="2" name="عدد" dataDxfId="2602" totalsRowDxfId="2520">
      <calculatedColumnFormula>IF((Q134="الاسكندرية"),0.25,0.1)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2605" totalsRowDxfId="2591"/>
    <tableColumn id="4" name="الوحده" dataDxfId="2534" totalsRowDxfId="2520"/>
    <tableColumn id="5" name="الوزن" dataDxfId="2557" totalsRowDxfId="2520"/>
    <tableColumn id="6" name="سعر الكيلو" dataDxfId="2557" totalsRowDxfId="2520"/>
    <tableColumn id="7" name="سعر الشبك " dataDxfId="1379" totalsRowDxfId="2594">
      <calculatedColumnFormula>F96</calculatedColumnFormula>
    </tableColumn>
    <tableColumn id="8" name="اجمالي" totalsRowFunction="sum" dataDxfId="2559" totalsRowDxfId="2595">
      <calculatedColumnFormula>M118*Table1613687798[[#This Row],[سعر الشبك ]]</calculatedColumnFormula>
    </tableColumn>
    <tableColumn id="9" name="%" totalsRowFunction="custom" totalsRowDxfId="259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IF((Q134="المقطم"),0.3,IF((Q134="التجمع"),0.3,IF((Q134="الشيخ زايد"),0.3,IF((Q134="الاسكندرية"),0.5,0.35))))</calculatedColumnFormula>
    </tableColumn>
    <tableColumn id="2" name="Column2" dataDxfId="260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521" totalsRowDxfId="2520"/>
    <tableColumn id="2" name="عدد" dataDxfId="2521" totalsRowDxfId="2520">
      <calculatedColumnFormula>IF(OR((N70="B11"),(N70="B12"),(N70="B21"),(N70="B22"),(N70="B31"),(N70="B32")),3,0)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(Table15880101[[#This Row],[Column1]]+Table15880101[[#This Row],[Column2]])*12*Table15880101[[#This Row],[عدد]]</calculatedColumnFormula>
    </tableColumn>
    <tableColumn id="4" name="الوحده" dataDxfId="2521" totalsRowDxfId="2520"/>
    <tableColumn id="5" name="الوزن" totalsRowFunction="custom" totalsRowDxfId="2520">
      <totalsRowFormula>(S77*M77)+(S78*M78)+(M79*S79)+(S80*M80)</totalsRowFormula>
    </tableColumn>
    <tableColumn id="6" name="اجمالي المسطح" totalsRowFunction="sum" dataDxfId="2567" totalsRowDxfId="2520">
      <calculatedColumnFormula>Table15880101[[#This Row],[المسطح]]*Table15880101[[#This Row],[عدد]]</calculatedColumnFormula>
    </tableColumn>
    <tableColumn id="7" name="سعر الشبك " dataDxfId="1387" totalsRowDxfId="2594">
      <calculatedColumnFormula>S77*$S$2/1000</calculatedColumnFormula>
    </tableColumn>
    <tableColumn id="8" name="اجمالي" totalsRowFunction="sum" dataDxfId="2559" totalsRowDxfId="2595">
      <calculatedColumnFormula>M77*U77</calculatedColumnFormula>
    </tableColumn>
    <tableColumn id="9" name="%" totalsRowFunction="custom" totalsRowDxfId="2599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Sheet2!AW6</calculatedColumnFormula>
    </tableColumn>
    <tableColumn id="8" name="اجمالي" totalsRowFunction="sum" dataDxfId="2559" totalsRowDxfId="2595">
      <calculatedColumnFormula>BH28*BP28</calculatedColumnFormula>
    </tableColumn>
    <tableColumn id="9" name="%" totalsRowFunction="custom" totalsRowDxfId="259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521" totalsRowDxfId="2520"/>
    <tableColumn id="2" name="عدد" totalsRowFunction="count" dataDxfId="2521" totalsRowDxfId="2520">
      <calculatedColumnFormula>B29*4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totalsRowFunction="sum" dataDxfId="2527" totalsRowDxfId="2528">
      <calculatedColumnFormula>(Table16[[#This Row],[Column1]]*Table16[[#This Row],[Column2]])*Table16[[#This Row],[عدد]]</calculatedColumnFormula>
    </tableColumn>
    <tableColumn id="4" name="الوحده" dataDxfId="2521" totalsRowDxfId="2520"/>
    <tableColumn id="5" name="الوزن" totalsRowFunction="custom" totalsRowDxfId="2520">
      <totalsRowFormula>H30*B30+H31*B31</totalsRowFormula>
    </tableColumn>
    <tableColumn id="6" name="Column3" dataDxfId="2529" totalsRowDxfId="2520"/>
    <tableColumn id="7" name="سعر الشبك " dataDxfId="2530" totalsRowDxfId="1362">
      <calculatedColumnFormula>H30*$H$2/1000</calculatedColumnFormula>
    </tableColumn>
    <tableColumn id="8" name="اجمالي" totalsRowFunction="sum" dataDxfId="2531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Sheet2!AW26</calculatedColumnFormula>
    </tableColumn>
    <tableColumn id="8" name="اجمالي" totalsRowFunction="sum" dataDxfId="2559" totalsRowDxfId="2595">
      <calculatedColumnFormula>BH14*BP14</calculatedColumnFormula>
    </tableColumn>
    <tableColumn id="9" name="%" totalsRowFunction="custom" totalsRowDxfId="259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521"/>
    <tableColumn id="2" name="عدد" totalsRowFunction="count" dataDxfId="2521">
      <calculatedColumnFormula>BH20*4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(Table16627383[[#This Row],[Column1]]*Table16627383[[#This Row],[Column2]])*Table16627383[[#This Row],[عدد]]</calculatedColumnFormula>
    </tableColumn>
    <tableColumn id="4" name="الوحده" dataDxfId="2521"/>
    <tableColumn id="5" name="الوزن" totalsRowFunction="custom">
      <totalsRowFormula>(BN23*BH23)+(BH24*BN24)</totalsRowFormula>
    </tableColumn>
    <tableColumn id="6" name="سعر الكيلو" dataDxfId="2567"/>
    <tableColumn id="7" name="سعر الشبك " dataDxfId="2583">
      <calculatedColumnFormula>BN22*$S$2/1000</calculatedColumnFormula>
    </tableColumn>
    <tableColumn id="8" name="اجمالي" totalsRowFunction="sum" dataDxfId="255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572"/>
    <tableColumn id="2" name="المعدل" dataDxfId="2572"/>
    <tableColumn id="3" name="الوحدة" dataDxfId="2572"/>
    <tableColumn id="4" name="Column4" dataDxfId="136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572"/>
    <tableColumn id="2" name="Column2" dataDxfId="260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IF((تسعير!$AU$14="بالتات"),0,BH48-2)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550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SUMIF(Table17697888[Column1],Table1612677686[[#This Row],[موقع العمل]],$AE$2:$AE$8)</calculatedColumnFormula>
    </tableColumn>
    <tableColumn id="4" name="عدد الايام" dataDxfId="2606" totalsRowDxfId="2520"/>
    <tableColumn id="7" name="اجمالي التكلفة للعامل" dataDxfId="2607" totalsRowDxfId="2594">
      <calculatedColumnFormula>Table1612677686[[#This Row],[Column12]]</calculatedColumnFormula>
    </tableColumn>
    <tableColumn id="8" name="اجمالي" totalsRowFunction="sum" dataDxfId="2559" totalsRowDxfId="2595">
      <calculatedColumnFormula>BH51*BP51</calculatedColumnFormula>
    </tableColumn>
    <tableColumn id="9" name="%" totalsRowFunction="custom" totalsRowDxfId="2599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557"/>
    <tableColumn id="2" name="عدد" dataDxfId="2602">
      <calculatedColumnFormula>IF((BL62="الاسكندرية"),0.25,0.1)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608"/>
    <tableColumn id="5" name="الوزن" dataDxfId="2557"/>
    <tableColumn id="6" name="سعر الكيلو" dataDxfId="2557"/>
    <tableColumn id="7" name="سعر الشبك " dataDxfId="1379">
      <calculatedColumnFormula>BQ45</calculatedColumnFormula>
    </tableColumn>
    <tableColumn id="8" name="اجمالي" totalsRowFunction="sum" dataDxfId="255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557"/>
    <tableColumn id="4" name="Column22" dataDxfId="2557"/>
    <tableColumn id="5" name="Column23" dataDxfId="2557"/>
    <tableColumn id="3" name="Column3" dataDxfId="2609">
      <calculatedColumnFormula>IF((BL62="المقطم"),0.3,IF((BL62="التجمع"),0.3,IF((BL62="الشيخ زايد"),0.3,IF((BL62="الاسكندرية"),0.5,0.35))))</calculatedColumnFormula>
    </tableColumn>
    <tableColumn id="2" name="Column2" dataDxfId="260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(Table1588090[[#This Row],[Column1]]+Table1588090[[#This Row],[Column2]])*12*Table1588090[[#This Row],[عدد]]</calculatedColumnFormula>
    </tableColumn>
    <tableColumn id="4" name="الوحده" dataDxfId="2521" totalsRowDxfId="2520"/>
    <tableColumn id="5" name="الوزن" totalsRowFunction="custom" totalsRowDxfId="2520">
      <totalsRowFormula>(BN6*BH6)+(BN7*BG7)+(BN8*BG8)+(BN9*BG9)</totalsRowFormula>
    </tableColumn>
    <tableColumn id="6" name="اجمالي المسطح" totalsRowFunction="sum" dataDxfId="2567" totalsRowDxfId="2520">
      <calculatedColumnFormula>Table1588090[[#This Row],[المسطح]]*Table1588090[[#This Row],[عدد]]</calculatedColumnFormula>
    </tableColumn>
    <tableColumn id="7" name="سعر الشبك " dataDxfId="2610" totalsRowDxfId="2594">
      <calculatedColumnFormula>BN6*$S$2/1000</calculatedColumnFormula>
    </tableColumn>
    <tableColumn id="8" name="اجمالي" totalsRowFunction="sum" dataDxfId="2559" totalsRowDxfId="2595">
      <calculatedColumnFormula>BH6*BP6</calculatedColumnFormula>
    </tableColumn>
    <tableColumn id="9" name="%" totalsRowFunction="custom" totalsRowDxfId="2599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611" totalsRowDxfId="1398"/>
    <tableColumn id="5" name="wt/m" dataDxfId="1397" totalsRowDxfId="2612"/>
    <tableColumn id="6" name="price" totalsRowFunction="sum" dataDxfId="2613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14608.333333333332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AL1:AN1" location="Royal!A1" display="مثبتة علي الحائط"/>
    <hyperlink ref="AM1:AO1" location="Royal!A1" display="مثبتة علي الحائط"/>
    <hyperlink ref="AN1:AP1" location="Royal!A1" display="مثبتة علي الحائط"/>
    <hyperlink ref="AO1:AQ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AL4:AN4" location="Royal2!A1" display="مثبتة غير علي الحائط"/>
    <hyperlink ref="AM4:AO4" location="Royal2!A1" display="مثبتة غير علي الحائط"/>
    <hyperlink ref="AN4:AP4" location="Royal2!A1" display="مثبتة غير علي الحائط"/>
    <hyperlink ref="AO4:AQ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4000</v>
      </c>
      <c r="D7" s="182" t="s">
        <v>428</v>
      </c>
      <c r="E7" s="183">
        <f>تسعير!X31</f>
        <v>1700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312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4000</v>
      </c>
      <c r="L6" s="759"/>
      <c r="M6" s="94" t="s">
        <v>366</v>
      </c>
      <c r="N6" s="95">
        <f>تسجيل2!E7</f>
        <v>1700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680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3999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1672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802.35935999999992</v>
      </c>
      <c r="U8" s="138">
        <f>T8*S8</f>
        <v>220648.824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8</v>
      </c>
      <c r="H11" s="743"/>
      <c r="I11" s="744">
        <f>'Format διαστασης οδηγου (2)'!F8</f>
        <v>1665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8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16.65</v>
      </c>
      <c r="U11" s="103">
        <f>CEILING(T11,0.5)</f>
        <v>17</v>
      </c>
      <c r="V11" s="103">
        <f>U11*S11</f>
        <v>136</v>
      </c>
      <c r="W11" s="140">
        <v>4.45627705627706</v>
      </c>
      <c r="X11" s="141">
        <f>($W$1/1000)*W11*V11</f>
        <v>139392.34632034646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571.64285714285711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5.7164285714285707</v>
      </c>
      <c r="U12" s="103">
        <f ref="U12:U21" t="shared" si="0">CEILING(T12,0.25)</f>
        <v>5.75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10</v>
      </c>
      <c r="H13" s="718"/>
      <c r="I13" s="719">
        <f>IF(G13="-------","-------",L17-5)</f>
        <v>565.14285714285711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14.128571428571426</v>
      </c>
      <c r="U13" s="103">
        <f t="shared" si="0"/>
        <v>14.25</v>
      </c>
      <c r="V13" s="103">
        <f t="shared" si="1"/>
        <v>40</v>
      </c>
      <c r="W13" s="140">
        <v>1.86378737541528</v>
      </c>
      <c r="X13" s="141">
        <f ref="X13:X20" t="shared" si="7">($W$1/1000)*W13*V13</f>
        <v>17146.843853820577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571.64285714285711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573.64285714285711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1.4341071428571428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573.64285714285711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570.14285714285711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1.4341071428571428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5</v>
      </c>
      <c r="H18" s="718"/>
      <c r="I18" s="719">
        <f>IF(G18="-------","-------",L17)</f>
        <v>570.14285714285711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7.1267857142857132</v>
      </c>
      <c r="U18" s="103">
        <f t="shared" si="0"/>
        <v>7.25</v>
      </c>
      <c r="V18" s="103">
        <f t="shared" si="1"/>
        <v>20</v>
      </c>
      <c r="W18" s="140">
        <v>1.3948717948718</v>
      </c>
      <c r="X18" s="141">
        <f t="shared" si="7"/>
        <v>6416.4102564102795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3997.5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7</v>
      </c>
      <c r="H20" s="724"/>
      <c r="I20" s="719">
        <f>L17-7</f>
        <v>563.14285714285711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9.855</v>
      </c>
      <c r="U20" s="103">
        <f t="shared" si="0"/>
        <v>10</v>
      </c>
      <c r="V20" s="103">
        <f t="shared" si="1"/>
        <v>28</v>
      </c>
      <c r="W20" s="103">
        <v>1.65</v>
      </c>
      <c r="X20" s="141">
        <f t="shared" si="7"/>
        <v>10626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8</v>
      </c>
      <c r="H21" s="710"/>
      <c r="I21" s="711">
        <f>(I11*2)+45</f>
        <v>3375</v>
      </c>
      <c r="J21" s="711"/>
      <c r="K21" s="106"/>
      <c r="L21" s="112">
        <f>IF(Format!E7=1,"-------",IF(Format!E7=5,"-------",تسجيل2!H30))</f>
        <v>8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270</v>
      </c>
      <c r="U21" s="142">
        <f t="shared" si="0"/>
        <v>270</v>
      </c>
      <c r="V21" s="142">
        <f>U21*S21</f>
        <v>270</v>
      </c>
      <c r="W21" s="142">
        <f>Sheet2!B17</f>
        <v>175</v>
      </c>
      <c r="X21" s="144">
        <f>W21*V21</f>
        <v>47250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8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1040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8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16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32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 t="e">
        <f t="shared" si="11"/>
        <v>#VALUE!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24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24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12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66.6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233.09999999999997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3999</v>
      </c>
      <c r="L97" s="177" t="str">
        <f>M8</f>
        <v>Χ</v>
      </c>
      <c r="M97" s="682">
        <f>N8</f>
        <v>1672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4000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1700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1700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1700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1700</v>
      </c>
      <c r="T31" s="47" t="s">
        <v>348</v>
      </c>
      <c r="U31" s="57">
        <f>INT((S31-4)/25)+1</f>
        <v>68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1700</v>
      </c>
      <c r="E2" s="1">
        <f>تسجيل2!E7</f>
        <v>1700</v>
      </c>
      <c r="F2" s="1">
        <f>تسجيل2!E7</f>
        <v>1700</v>
      </c>
      <c r="G2" s="1">
        <f>تسجيل2!E7</f>
        <v>1700</v>
      </c>
      <c r="H2" s="8">
        <f>تسجيل2!E7</f>
        <v>1700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1700</v>
      </c>
      <c r="E6" s="1">
        <f>IF(E3=0,E2,E2-E3-E4+10)</f>
        <v>1700</v>
      </c>
      <c r="F6" s="1">
        <f>IF(F3=0,F2,F2-F3-F4+10)</f>
        <v>1700</v>
      </c>
      <c r="G6" s="1">
        <f>IF(G3=0,G2,G2-G3-G4+10)</f>
        <v>1700</v>
      </c>
      <c r="H6" s="8">
        <f>IF(H3=0,H2,H2-H3-H4+10)</f>
        <v>1700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1700</v>
      </c>
      <c r="L6" s="10">
        <f>IF('Format (2)'!E8=1,تسجيل2!E7-30,IF('Format (2)'!E8=2,D7,IF('Format (2)'!E8=3,E7,IF('Format (2)'!E8=4,F7,IF('Format (2)'!E8=5,G7,IF('Format (2)'!E8=6,H7,"-----"))))))</f>
        <v>1670</v>
      </c>
    </row>
    <row r="7">
      <c r="A7" s="783"/>
      <c r="B7" s="784"/>
      <c r="C7" s="19" t="s">
        <v>278</v>
      </c>
      <c r="D7" s="6">
        <f>D6-30</f>
        <v>1670</v>
      </c>
      <c r="E7" s="6">
        <f>E6-17</f>
        <v>1683</v>
      </c>
      <c r="F7" s="6">
        <f>F6-30</f>
        <v>1670</v>
      </c>
      <c r="G7" s="6">
        <f>G6-17</f>
        <v>1683</v>
      </c>
      <c r="H7" s="9">
        <f>H6-30</f>
        <v>1670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1700</v>
      </c>
      <c r="E11" s="1">
        <f>تسجيل2!E7</f>
        <v>1700</v>
      </c>
      <c r="F11" s="1">
        <f>تسجيل2!E7</f>
        <v>1700</v>
      </c>
      <c r="G11" s="1">
        <f>تسجيل2!E7</f>
        <v>1700</v>
      </c>
      <c r="H11" s="8">
        <f>تسجيل2!E7</f>
        <v>1700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1700</v>
      </c>
      <c r="L14" s="10">
        <f>IF('Format (2)'!E8=1,تسجيل2!E7-30,IF('Format (2)'!E8=2,D16,IF('Format (2)'!E8=3,E16,IF('Format (2)'!E8=4,F16,IF('Format (2)'!E8=5,G16,IF('Format (2)'!E8=6,H16))))))</f>
        <v>1670</v>
      </c>
    </row>
    <row r="15">
      <c r="A15" s="787"/>
      <c r="B15" s="788"/>
      <c r="C15" s="10" t="s">
        <v>276</v>
      </c>
      <c r="D15" s="1">
        <f>IF(D12=0,D11,D11-D12-D13+11)</f>
        <v>1700</v>
      </c>
      <c r="E15" s="1">
        <f>IF(E12=0,E11,E11-E12-E13+11)</f>
        <v>1700</v>
      </c>
      <c r="F15" s="1">
        <f>IF(F12=0,F11,F11-F12-F13+11)</f>
        <v>1700</v>
      </c>
      <c r="G15" s="1">
        <f>IF(G12=0,G11,G11-G12-G13+11)</f>
        <v>1700</v>
      </c>
      <c r="H15" s="8">
        <f>IF(H12=0,H11,H11-H12-H13+11)</f>
        <v>1700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1670</v>
      </c>
      <c r="E16" s="6">
        <f>E15-17</f>
        <v>1683</v>
      </c>
      <c r="F16" s="6">
        <f>F15-30</f>
        <v>1670</v>
      </c>
      <c r="G16" s="6">
        <f>G15-17</f>
        <v>1683</v>
      </c>
      <c r="H16" s="9">
        <f>H15-30</f>
        <v>1670</v>
      </c>
      <c r="Q16" s="10">
        <f>IF('Format (2)'!A7=1,K6,IF('Format (2)'!A7=3,K6,IF('Format (2)'!A7=4,K23,IF('Format (2)'!A7=2,K23,IF('Format (2)'!A7=5,K14,"------")))))</f>
        <v>1700</v>
      </c>
      <c r="R16" s="10">
        <f>IF('Format (2)'!A7=1,L6,IF('Format (2)'!A7=3,L6,IF('Format (2)'!A7=4,L23,IF('Format (2)'!A7=2,L23+2,IF('Format (2)'!A7=5,L14,"------")))))</f>
        <v>1672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1700</v>
      </c>
      <c r="E20" s="1">
        <f>تسجيل2!E7</f>
        <v>1700</v>
      </c>
      <c r="F20" s="1">
        <f>تسجيل2!E7</f>
        <v>1700</v>
      </c>
      <c r="G20" s="1">
        <f>تسجيل2!E7</f>
        <v>1700</v>
      </c>
      <c r="H20" s="8">
        <f>تسجيل2!E7</f>
        <v>1700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1700</v>
      </c>
      <c r="L23" s="10">
        <f>IF('Format (2)'!E8=1,تسجيل2!E7-30,IF('Format (2)'!E8=2,D25,IF('Format (2)'!E8=3,E25,IF('Format (2)'!E8=4,F25,IF('Format (2)'!E8=5,G25,IF('Format (2)'!E8=6,H25))))))</f>
        <v>1670</v>
      </c>
    </row>
    <row r="24">
      <c r="A24" s="793"/>
      <c r="B24" s="794"/>
      <c r="C24" s="10" t="s">
        <v>276</v>
      </c>
      <c r="D24" s="1">
        <f>IF(D21=0,D20,D20-D21-D22+11)</f>
        <v>1700</v>
      </c>
      <c r="E24" s="1">
        <f>IF(E21=0,E20,E20-E21-E22+11)</f>
        <v>1700</v>
      </c>
      <c r="F24" s="1">
        <f>IF(F21=0,F20,F20-F21-F22+11)</f>
        <v>1700</v>
      </c>
      <c r="G24" s="1">
        <f>IF(G21=0,G20,G20-G21-G22+11)</f>
        <v>1700</v>
      </c>
      <c r="H24" s="8">
        <f>IF(H21=0,H20,H20-H21-H22+11)</f>
        <v>1700</v>
      </c>
    </row>
    <row r="25">
      <c r="A25" s="795"/>
      <c r="B25" s="796"/>
      <c r="C25" s="19" t="s">
        <v>278</v>
      </c>
      <c r="D25" s="6">
        <f>D24-30</f>
        <v>1670</v>
      </c>
      <c r="E25" s="6">
        <f>E24-13</f>
        <v>1687</v>
      </c>
      <c r="F25" s="6">
        <f>F24-30</f>
        <v>1670</v>
      </c>
      <c r="G25" s="6">
        <f>G24-13</f>
        <v>1687</v>
      </c>
      <c r="H25" s="9">
        <f>H24-30</f>
        <v>1670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4000</v>
      </c>
      <c r="J4" s="15">
        <v>4</v>
      </c>
      <c r="K4" s="15">
        <v>2</v>
      </c>
    </row>
    <row r="5">
      <c r="A5" s="1" t="s">
        <v>257</v>
      </c>
      <c r="B5" s="1">
        <f>تسجيل2!E7</f>
        <v>1700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1700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1668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1668</v>
      </c>
      <c r="F8" s="1">
        <f>IF('Format (2)'!A7=1,C6,IF('Format (2)'!A7=2,C7,IF('Format (2)'!A7=3,C8,IF('Format (2)'!A7=4,C9,IF('Format (2)'!A7=5,C10)))))</f>
        <v>1665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1700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1700</v>
      </c>
      <c r="F16" s="1">
        <f>IF('Format (2)'!A7=1,C14,IF('Format (2)'!A7=2,C15,IF('Format (2)'!A7=3,C16,IF('Format (2)'!A7=4,C17,IF('Format (2)'!A7=5,C118)))))</f>
        <v>1700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59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1700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4000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AG8:AI10" location="تسعير!AQ38" display="تليسكوب"/>
    <hyperlink ref="AH8:AJ10" location="تسعير!AQ38" display="تليسكوب"/>
    <hyperlink ref="AI8:AK10" location="تسعير!AQ38" display="تليسكوب"/>
    <hyperlink ref="AJ8:AL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AG9:AI11" location="تسعير!AQ38" display="تليسكوب"/>
    <hyperlink ref="AH9:AJ11" location="تسعير!AQ38" display="تليسكوب"/>
    <hyperlink ref="AI9:AK11" location="تسعير!AQ38" display="تليسكوب"/>
    <hyperlink ref="AJ9:AL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AG10:AI12" location="تسعير!AQ38" display="تليسكوب"/>
    <hyperlink ref="AH10:AJ12" location="تسعير!AQ38" display="تليسكوب"/>
    <hyperlink ref="AI10:AK12" location="تسعير!AQ38" display="تليسكوب"/>
    <hyperlink ref="AJ10:AL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AG11:AI13" location="تسعير!AQ38" display="تليسكوب"/>
    <hyperlink ref="AH11:AJ13" location="تسعير!AQ38" display="تليسكوب"/>
    <hyperlink ref="AI11:AK13" location="تسعير!AQ38" display="تليسكوب"/>
    <hyperlink ref="AJ11:AL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G12:AI14" location="تسعير!AQ38" display="تليسكوب"/>
    <hyperlink ref="AH12:AJ14" location="تسعير!AQ38" display="تليسكوب"/>
    <hyperlink ref="AI12:AK14" location="تسعير!AQ38" display="تليسكوب"/>
    <hyperlink ref="AJ12:AL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G13:AI15" location="تسعير!AQ38" display="تليسكوب"/>
    <hyperlink ref="AH13:AJ15" location="تسعير!AQ38" display="تليسكوب"/>
    <hyperlink ref="AI13:AK15" location="تسعير!AQ38" display="تليسكوب"/>
    <hyperlink ref="AJ13:AL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G14:AI16" location="تسعير!AQ38" display="تليسكوب"/>
    <hyperlink ref="AH14:AJ16" location="تسعير!AQ38" display="تليسكوب"/>
    <hyperlink ref="AI14:AK16" location="تسعير!AQ38" display="تليسكوب"/>
    <hyperlink ref="AJ14:AL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AG15:AI17" location="تسعير!AQ38" display="تليسكوب"/>
    <hyperlink ref="AH15:AJ17" location="تسعير!AQ38" display="تليسكوب"/>
    <hyperlink ref="AI15:AK17" location="تسعير!AQ38" display="تليسكوب"/>
    <hyperlink ref="AJ15:AL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AG16:AI18" location="تسعير!AQ38" display="تليسكوب"/>
    <hyperlink ref="AH16:AJ18" location="تسعير!AQ38" display="تليسكوب"/>
    <hyperlink ref="AI16:AK18" location="تسعير!AQ38" display="تليسكوب"/>
    <hyperlink ref="AJ16:AL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AG17:AI19" location="تسعير!AQ38" display="تليسكوب"/>
    <hyperlink ref="AH17:AJ19" location="تسعير!AQ38" display="تليسكوب"/>
    <hyperlink ref="AI17:AK19" location="تسعير!AQ38" display="تليسكوب"/>
    <hyperlink ref="AJ17:AL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AG18:AI20" location="تسعير!AQ38" display="تليسكوب"/>
    <hyperlink ref="AH18:AJ20" location="تسعير!AQ38" display="تليسكوب"/>
    <hyperlink ref="AI18:AK20" location="تسعير!AQ38" display="تليسكوب"/>
    <hyperlink ref="AJ18:AL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AG19:AI21" location="تسعير!AQ38" display="تليسكوب"/>
    <hyperlink ref="AH19:AJ21" location="تسعير!AQ38" display="تليسكوب"/>
    <hyperlink ref="AI19:AK21" location="تسعير!AQ38" display="تليسكوب"/>
    <hyperlink ref="AJ19:AL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AG20:AI22" location="تسعير!AQ38" display="تليسكوب"/>
    <hyperlink ref="AH20:AJ22" location="تسعير!AQ38" display="تليسكوب"/>
    <hyperlink ref="AI20:AK22" location="تسعير!AQ38" display="تليسكوب"/>
    <hyperlink ref="AJ20:AL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AG21:AI23" location="تسعير!AQ38" display="تليسكوب"/>
    <hyperlink ref="AH21:AJ23" location="تسعير!AQ38" display="تليسكوب"/>
    <hyperlink ref="AI21:AK23" location="تسعير!AQ38" display="تليسكوب"/>
    <hyperlink ref="AJ21:AL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AG22:AI24" location="تسعير!AQ38" display="تليسكوب"/>
    <hyperlink ref="AH22:AJ24" location="تسعير!AQ38" display="تليسكوب"/>
    <hyperlink ref="AI22:AK24" location="تسعير!AQ38" display="تليسكوب"/>
    <hyperlink ref="AJ22:AL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AG23:AI25" location="تسعير!AQ38" display="تليسكوب"/>
    <hyperlink ref="AH23:AJ25" location="تسعير!AQ38" display="تليسكوب"/>
    <hyperlink ref="AI23:AK25" location="تسعير!AQ38" display="تليسكوب"/>
    <hyperlink ref="AJ23:AL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AG24:AI26" location="تسعير!AQ38" display="تليسكوب"/>
    <hyperlink ref="AH24:AJ26" location="تسعير!AQ38" display="تليسكوب"/>
    <hyperlink ref="AI24:AK26" location="تسعير!AQ38" display="تليسكوب"/>
    <hyperlink ref="AJ24:AL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AG25:AI27" location="تسعير!AQ38" display="تليسكوب"/>
    <hyperlink ref="AH25:AJ27" location="تسعير!AQ38" display="تليسكوب"/>
    <hyperlink ref="AI25:AK27" location="تسعير!AQ38" display="تليسكوب"/>
    <hyperlink ref="AJ25:AL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AG26:AI28" location="تسعير!AQ38" display="تليسكوب"/>
    <hyperlink ref="AH26:AJ28" location="تسعير!AQ38" display="تليسكوب"/>
    <hyperlink ref="AI26:AK28" location="تسعير!AQ38" display="تليسكوب"/>
    <hyperlink ref="AJ26:AL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AG27:AI29" location="تسعير!AQ38" display="تليسكوب"/>
    <hyperlink ref="AH27:AJ29" location="تسعير!AQ38" display="تليسكوب"/>
    <hyperlink ref="AI27:AK29" location="تسعير!AQ38" display="تليسكوب"/>
    <hyperlink ref="AJ27:AL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AG28:AI30" location="تسعير!AQ38" display="تليسكوب"/>
    <hyperlink ref="AH28:AJ30" location="تسعير!AQ38" display="تليسكوب"/>
    <hyperlink ref="AI28:AK30" location="تسعير!AQ38" display="تليسكوب"/>
    <hyperlink ref="AJ28:AL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AG29:AI31" location="تسعير!AQ38" display="تليسكوب"/>
    <hyperlink ref="AH29:AJ31" location="تسعير!AQ38" display="تليسكوب"/>
    <hyperlink ref="AI29:AK31" location="تسعير!AQ38" display="تليسكوب"/>
    <hyperlink ref="AJ29:AL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AG30:AI32" location="تسعير!AQ38" display="تليسكوب"/>
    <hyperlink ref="AH30:AJ32" location="تسعير!AQ38" display="تليسكوب"/>
    <hyperlink ref="AI30:AK32" location="تسعير!AQ38" display="تليسكوب"/>
    <hyperlink ref="AJ30:AL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AG31:AI33" location="تسعير!AQ38" display="تليسكوب"/>
    <hyperlink ref="AH31:AJ33" location="تسعير!AQ38" display="تليسكوب"/>
    <hyperlink ref="AI31:AK33" location="تسعير!AQ38" display="تليسكوب"/>
    <hyperlink ref="AJ31:AL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G32:AI34" location="تسعير!AQ38" display="تليسكوب"/>
    <hyperlink ref="AH32:AJ34" location="تسعير!AQ38" display="تليسكوب"/>
    <hyperlink ref="AI32:AK34" location="تسعير!AQ38" display="تليسكوب"/>
    <hyperlink ref="AJ32:AL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G33:AI35" location="تسعير!AQ38" display="تليسكوب"/>
    <hyperlink ref="AH33:AJ35" location="تسعير!AQ38" display="تليسكوب"/>
    <hyperlink ref="AI33:AK35" location="تسعير!AQ38" display="تليسكوب"/>
    <hyperlink ref="AJ33:AL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G34:AI36" location="تسعير!AQ38" display="تليسكوب"/>
    <hyperlink ref="AH34:AJ36" location="تسعير!AQ38" display="تليسكوب"/>
    <hyperlink ref="AI34:AK36" location="تسعير!AQ38" display="تليسكوب"/>
    <hyperlink ref="AJ34:AL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AG35:AI37" location="تسعير!AQ38" display="تليسكوب"/>
    <hyperlink ref="AH35:AJ37" location="تسعير!AQ38" display="تليسكوب"/>
    <hyperlink ref="AI35:AK37" location="تسعير!AQ38" display="تليسكوب"/>
    <hyperlink ref="AJ35:AL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AG36:AI38" location="تسعير!AQ38" display="تليسكوب"/>
    <hyperlink ref="AH36:AJ38" location="تسعير!AQ38" display="تليسكوب"/>
    <hyperlink ref="AI36:AK38" location="تسعير!AQ38" display="تليسكوب"/>
    <hyperlink ref="AJ36:AL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AG37:AI39" location="تسعير!AQ38" display="تليسكوب"/>
    <hyperlink ref="AH37:AJ39" location="تسعير!AQ38" display="تليسكوب"/>
    <hyperlink ref="AI37:AK39" location="تسعير!AQ38" display="تليسكوب"/>
    <hyperlink ref="AJ37:AL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G38:AI40" location="تسعير!AQ38" display="تليسكوب"/>
    <hyperlink ref="AH38:AJ40" location="تسعير!AQ38" display="تليسكوب"/>
    <hyperlink ref="AI38:AK40" location="تسعير!AQ38" display="تليسكوب"/>
    <hyperlink ref="AJ38:AL40" location="تسعير!AQ38" display="تليسكوب"/>
    <hyperlink ref="B39:D41" location="تسعير!AQ38" display="تليسكوب"/>
    <hyperlink ref="C39:E41" location="تسعير!AQ38" display="تليسكوب"/>
    <hyperlink ref="D39:F41" location="تسعير!AQ38" display="تليسكوب"/>
    <hyperlink ref="E39:G41" location="تسعير!AQ38" display="تليسكوب"/>
    <hyperlink ref="F39:H41" location="تسعير!AQ38" display="تليسكوب"/>
    <hyperlink ref="G39:I41" location="تسعير!AQ38" display="تليسكوب"/>
    <hyperlink ref="H39:J41" location="تسعير!AQ38" display="تليسكوب"/>
    <hyperlink ref="I39:K41" location="تسعير!AQ38" display="تليسكوب"/>
    <hyperlink ref="J39:L41" location="تسعير!AQ38" display="تليسكوب"/>
    <hyperlink ref="K39:M41" location="تسعير!AQ38" display="تليسكوب"/>
    <hyperlink ref="L39:N41" location="تسعير!AQ38" display="تليسكوب"/>
    <hyperlink ref="M39:O41" location="تسعير!AQ38" display="تليسكوب"/>
    <hyperlink ref="N39:P41" location="تسعير!AQ38" display="تليسكوب"/>
    <hyperlink ref="O39:Q41" location="تسعير!AQ38" display="تليسكوب"/>
    <hyperlink ref="P39:R41" location="تسعير!AQ38" display="تليسكوب"/>
    <hyperlink ref="Q39:S41" location="تسعير!AQ38" display="تليسكوب"/>
    <hyperlink ref="R39:T41" location="تسعير!AQ38" display="تليسكوب"/>
    <hyperlink ref="S39:U41" location="تسعير!AQ38" display="تليسكوب"/>
    <hyperlink ref="T39:V41" location="تسعير!AQ38" display="تليسكوب"/>
    <hyperlink ref="U39:W41" location="تسعير!AQ38" display="تليسكوب"/>
    <hyperlink ref="V39:X41" location="تسعير!AQ38" display="تليسكوب"/>
    <hyperlink ref="W39:Y41" location="تسعير!AQ38" display="تليسكوب"/>
    <hyperlink ref="X39:Z41" location="تسعير!AQ38" display="تليسكوب"/>
    <hyperlink ref="Y39:AA41" location="تسعير!AQ38" display="تليسكوب"/>
    <hyperlink ref="Z39:AB41" location="تسعير!AQ38" display="تليسكوب"/>
    <hyperlink ref="AA39:AC41" location="تسعير!AQ38" display="تليسكوب"/>
    <hyperlink ref="AB39:AD41" location="تسعير!AQ38" display="تليسكوب"/>
    <hyperlink ref="AC39:AE41" location="تسعير!AQ38" display="تليسكوب"/>
    <hyperlink ref="AD39:AF41" location="تسعير!AQ38" display="تليسكوب"/>
    <hyperlink ref="AE39:AG41" location="تسعير!AQ38" display="تليسكوب"/>
    <hyperlink ref="AF39:AH41" location="تسعير!AQ38" display="تليسكوب"/>
    <hyperlink ref="AG39:AI41" location="تسعير!AQ38" display="تليسكوب"/>
    <hyperlink ref="AH39:AJ41" location="تسعير!AQ38" display="تليسكوب"/>
    <hyperlink ref="AI39:AK41" location="تسعير!AQ38" display="تليسكوب"/>
    <hyperlink ref="AJ39:AL41" location="تسعير!AQ38" display="تليسكوب"/>
    <hyperlink ref="B40:D42" location="تسعير!AQ38" display="تليسكوب"/>
    <hyperlink ref="C40:E42" location="تسعير!AQ38" display="تليسكوب"/>
    <hyperlink ref="D40:F42" location="تسعير!AQ38" display="تليسكوب"/>
    <hyperlink ref="E40:G42" location="تسعير!AQ38" display="تليسكوب"/>
    <hyperlink ref="F40:H42" location="تسعير!AQ38" display="تليسكوب"/>
    <hyperlink ref="G40:I42" location="تسعير!AQ38" display="تليسكوب"/>
    <hyperlink ref="H40:J42" location="تسعير!AQ38" display="تليسكوب"/>
    <hyperlink ref="I40:K42" location="تسعير!AQ38" display="تليسكوب"/>
    <hyperlink ref="J40:L42" location="تسعير!AQ38" display="تليسكوب"/>
    <hyperlink ref="K40:M42" location="تسعير!AQ38" display="تليسكوب"/>
    <hyperlink ref="L40:N42" location="تسعير!AQ38" display="تليسكوب"/>
    <hyperlink ref="M40:O42" location="تسعير!AQ38" display="تليسكوب"/>
    <hyperlink ref="N40:P42" location="تسعير!AQ38" display="تليسكوب"/>
    <hyperlink ref="O40:Q42" location="تسعير!AQ38" display="تليسكوب"/>
    <hyperlink ref="P40:R42" location="تسعير!AQ38" display="تليسكوب"/>
    <hyperlink ref="Q40:S42" location="تسعير!AQ38" display="تليسكوب"/>
    <hyperlink ref="R40:T42" location="تسعير!AQ38" display="تليسكوب"/>
    <hyperlink ref="S40:U42" location="تسعير!AQ38" display="تليسكوب"/>
    <hyperlink ref="T40:V42" location="تسعير!AQ38" display="تليسكوب"/>
    <hyperlink ref="U40:W42" location="تسعير!AQ38" display="تليسكوب"/>
    <hyperlink ref="V40:X42" location="تسعير!AQ38" display="تليسكوب"/>
    <hyperlink ref="W40:Y42" location="تسعير!AQ38" display="تليسكوب"/>
    <hyperlink ref="X40:Z42" location="تسعير!AQ38" display="تليسكوب"/>
    <hyperlink ref="Y40:AA42" location="تسعير!AQ38" display="تليسكوب"/>
    <hyperlink ref="Z40:AB42" location="تسعير!AQ38" display="تليسكوب"/>
    <hyperlink ref="AA40:AC42" location="تسعير!AQ38" display="تليسكوب"/>
    <hyperlink ref="AB40:AD42" location="تسعير!AQ38" display="تليسكوب"/>
    <hyperlink ref="AC40:AE42" location="تسعير!AQ38" display="تليسكوب"/>
    <hyperlink ref="AD40:AF42" location="تسعير!AQ38" display="تليسكوب"/>
    <hyperlink ref="AE40:AG42" location="تسعير!AQ38" display="تليسكوب"/>
    <hyperlink ref="AF40:AH42" location="تسعير!AQ38" display="تليسكوب"/>
    <hyperlink ref="AG40:AI42" location="تسعير!AQ38" display="تليسكوب"/>
    <hyperlink ref="AH40:AJ42" location="تسعير!AQ38" display="تليسكوب"/>
    <hyperlink ref="AI40:AK42" location="تسعير!AQ38" display="تليسكوب"/>
    <hyperlink ref="AJ40:AL42" location="تسعير!AQ38" display="تليسكوب"/>
    <hyperlink ref="B41:D43" location="تسعير!AQ38" display="تليسكوب"/>
    <hyperlink ref="C41:E43" location="تسعير!AQ38" display="تليسكوب"/>
    <hyperlink ref="D41:F43" location="تسعير!AQ38" display="تليسكوب"/>
    <hyperlink ref="E41:G43" location="تسعير!AQ38" display="تليسكوب"/>
    <hyperlink ref="F41:H43" location="تسعير!AQ38" display="تليسكوب"/>
    <hyperlink ref="G41:I43" location="تسعير!AQ38" display="تليسكوب"/>
    <hyperlink ref="H41:J43" location="تسعير!AQ38" display="تليسكوب"/>
    <hyperlink ref="I41:K43" location="تسعير!AQ38" display="تليسكوب"/>
    <hyperlink ref="J41:L43" location="تسعير!AQ38" display="تليسكوب"/>
    <hyperlink ref="K41:M43" location="تسعير!AQ38" display="تليسكوب"/>
    <hyperlink ref="L41:N43" location="تسعير!AQ38" display="تليسكوب"/>
    <hyperlink ref="M41:O43" location="تسعير!AQ38" display="تليسكوب"/>
    <hyperlink ref="N41:P43" location="تسعير!AQ38" display="تليسكوب"/>
    <hyperlink ref="O41:Q43" location="تسعير!AQ38" display="تليسكوب"/>
    <hyperlink ref="P41:R43" location="تسعير!AQ38" display="تليسكوب"/>
    <hyperlink ref="Q41:S43" location="تسعير!AQ38" display="تليسكوب"/>
    <hyperlink ref="R41:T43" location="تسعير!AQ38" display="تليسكوب"/>
    <hyperlink ref="S41:U43" location="تسعير!AQ38" display="تليسكوب"/>
    <hyperlink ref="T41:V43" location="تسعير!AQ38" display="تليسكوب"/>
    <hyperlink ref="U41:W43" location="تسعير!AQ38" display="تليسكوب"/>
    <hyperlink ref="V41:X43" location="تسعير!AQ38" display="تليسكوب"/>
    <hyperlink ref="W41:Y43" location="تسعير!AQ38" display="تليسكوب"/>
    <hyperlink ref="X41:Z43" location="تسعير!AQ38" display="تليسكوب"/>
    <hyperlink ref="Y41:AA43" location="تسعير!AQ38" display="تليسكوب"/>
    <hyperlink ref="Z41:AB43" location="تسعير!AQ38" display="تليسكوب"/>
    <hyperlink ref="AA41:AC43" location="تسعير!AQ38" display="تليسكوب"/>
    <hyperlink ref="AB41:AD43" location="تسعير!AQ38" display="تليسكوب"/>
    <hyperlink ref="AC41:AE43" location="تسعير!AQ38" display="تليسكوب"/>
    <hyperlink ref="AD41:AF43" location="تسعير!AQ38" display="تليسكوب"/>
    <hyperlink ref="AE41:AG43" location="تسعير!AQ38" display="تليسكوب"/>
    <hyperlink ref="AF41:AH43" location="تسعير!AQ38" display="تليسكوب"/>
    <hyperlink ref="AG41:AI43" location="تسعير!AQ38" display="تليسكوب"/>
    <hyperlink ref="AH41:AJ43" location="تسعير!AQ38" display="تليسكوب"/>
    <hyperlink ref="AI41:AK43" location="تسعير!AQ38" display="تليسكوب"/>
    <hyperlink ref="AJ41:AL43" location="تسعير!AQ38" display="تليسكوب"/>
    <hyperlink ref="B42:D44" location="تسعير!AQ38" display="تليسكوب"/>
    <hyperlink ref="C42:E44" location="تسعير!AQ38" display="تليسكوب"/>
    <hyperlink ref="D42:F44" location="تسعير!AQ38" display="تليسكوب"/>
    <hyperlink ref="E42:G44" location="تسعير!AQ38" display="تليسكوب"/>
    <hyperlink ref="F42:H44" location="تسعير!AQ38" display="تليسكوب"/>
    <hyperlink ref="G42:I44" location="تسعير!AQ38" display="تليسكوب"/>
    <hyperlink ref="H42:J44" location="تسعير!AQ38" display="تليسكوب"/>
    <hyperlink ref="I42:K44" location="تسعير!AQ38" display="تليسكوب"/>
    <hyperlink ref="J42:L44" location="تسعير!AQ38" display="تليسكوب"/>
    <hyperlink ref="K42:M44" location="تسعير!AQ38" display="تليسكوب"/>
    <hyperlink ref="L42:N44" location="تسعير!AQ38" display="تليسكوب"/>
    <hyperlink ref="M42:O44" location="تسعير!AQ38" display="تليسكوب"/>
    <hyperlink ref="N42:P44" location="تسعير!AQ38" display="تليسكوب"/>
    <hyperlink ref="O42:Q44" location="تسعير!AQ38" display="تليسكوب"/>
    <hyperlink ref="P42:R44" location="تسعير!AQ38" display="تليسكوب"/>
    <hyperlink ref="Q42:S44" location="تسعير!AQ38" display="تليسكوب"/>
    <hyperlink ref="R42:T44" location="تسعير!AQ38" display="تليسكوب"/>
    <hyperlink ref="S42:U44" location="تسعير!AQ38" display="تليسكوب"/>
    <hyperlink ref="T42:V44" location="تسعير!AQ38" display="تليسكوب"/>
    <hyperlink ref="U42:W44" location="تسعير!AQ38" display="تليسكوب"/>
    <hyperlink ref="V42:X44" location="تسعير!AQ38" display="تليسكوب"/>
    <hyperlink ref="W42:Y44" location="تسعير!AQ38" display="تليسكوب"/>
    <hyperlink ref="X42:Z44" location="تسعير!AQ38" display="تليسكوب"/>
    <hyperlink ref="Y42:AA44" location="تسعير!AQ38" display="تليسكوب"/>
    <hyperlink ref="Z42:AB44" location="تسعير!AQ38" display="تليسكوب"/>
    <hyperlink ref="AA42:AC44" location="تسعير!AQ38" display="تليسكوب"/>
    <hyperlink ref="AB42:AD44" location="تسعير!AQ38" display="تليسكوب"/>
    <hyperlink ref="AC42:AE44" location="تسعير!AQ38" display="تليسكوب"/>
    <hyperlink ref="AD42:AF44" location="تسعير!AQ38" display="تليسكوب"/>
    <hyperlink ref="AE42:AG44" location="تسعير!AQ38" display="تليسكوب"/>
    <hyperlink ref="AF42:AH44" location="تسعير!AQ38" display="تليسكوب"/>
    <hyperlink ref="AG42:AI44" location="تسعير!AQ38" display="تليسكوب"/>
    <hyperlink ref="AH42:AJ44" location="تسعير!AQ38" display="تليسكوب"/>
    <hyperlink ref="AI42:AK44" location="تسعير!AQ38" display="تليسكوب"/>
    <hyperlink ref="AJ42:AL44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45715.623090034722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45715.623090034722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340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1870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1130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2240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5518.333333333333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المنوفية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المنوفية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المنوفية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المنوفية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المنوفية</v>
      </c>
      <c r="G76" s="214"/>
      <c r="H76" s="247">
        <f>SUMIF(Table1731[Column1],Table161229[[#This Row],[موقع العمل]],$O$2:$O$26)</f>
        <v>50</v>
      </c>
      <c r="I76" s="247"/>
      <c r="J76" s="243">
        <f>Table161229[[#This Row],[Column12]]</f>
        <v>50</v>
      </c>
      <c r="K76" s="240">
        <f t="shared" si="14"/>
        <v>1100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المنوفية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-100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المنوفية</v>
      </c>
      <c r="G78" s="214"/>
      <c r="H78" s="247">
        <f>SUMIF(Table1731[Column1],Table161229[[#This Row],[موقع العمل]],$R$2:$R$26)</f>
        <v>1200</v>
      </c>
      <c r="I78" s="247"/>
      <c r="J78" s="243">
        <f>Table161229[[#This Row],[Column12]]</f>
        <v>1200</v>
      </c>
      <c r="K78" s="240">
        <f t="shared" si="14"/>
        <v>2400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المنوفية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المنوفية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-300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3950</v>
      </c>
      <c r="I81" s="560"/>
      <c r="J81" s="564"/>
      <c r="K81" s="565">
        <f>SUBTOTAL(109,Table161229[اجمالي])</f>
        <v>7850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45715.62309011574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45715.623090127316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45715.623090127316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45715.623090127316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45715.623090127316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45715.623090127316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>
        <f>(V77)/$R$68</f>
        <v>0.02778731128818171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>
        <f>Table15880101[[#Totals],[اجمالي]]/$R$68</f>
        <v>0.081377125915389287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0.0033080132485930605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0.0080632822934455853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>
        <f>(V93)/$R$68</f>
        <v>0.0079392317966233451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>
        <f>(V95)/$R$68</f>
        <v>0.0019848079491558363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>
        <f>Table16627394[[#Totals],[اجمالي]]/$R$68</f>
        <v>0.0099240397457791823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0.06252145039840884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0.049103321658803246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0.0542720923597299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>
        <f>Table13597192[[#Totals],[اجمالي]]/$R$68</f>
        <v>0.17321584372945414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>
        <f>(V118)/$R$68</f>
        <v>0.61557991539756118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>
        <f>(V119)/$R$68</f>
        <v>0.061557991539756114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>
        <f>Table1613687798[[#Totals],[اجمالي]]/$R$68</f>
        <v>0.67713790693731724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