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49CF5759-E23E-48B4-A019-5F7B79AE8336}" xr6:coauthVersionLast="47" xr6:coauthVersionMax="47" xr10:uidLastSave="{00000000-0000-0000-0000-000000000000}"/>
  <bookViews>
    <workbookView xWindow="384" yWindow="0" windowWidth="11736" windowHeight="12360" tabRatio="934" firstSheet="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<sst xmlns="http://schemas.openxmlformats.org/spreadsheetml/2006/main" count="795" uniqueCount="795">
  <si>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</si>
  <si>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</si>
  <si>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</si>
  <si>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</si>
  <si>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</si>
  <si>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</si>
  <si>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</si>
  <si>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</si>
  <si>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</si>
  <si>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</si>
  <si>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</si>
  <si>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</si>
  <si>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</si>
  <si>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</si>
  <si>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</si>
  <si>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</si>
  <si>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</si>
  <si>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</si>
  <si>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</si>
  <si>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</si>
  <si>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</si>
  <si>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</si>
  <si>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</si>
  <si>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</si>
  <si>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</si>
  <si>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</si>
  <si>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</si>
  <si>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</si>
  <si>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</si>
  <si>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</si>
  <si>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</si>
  <si>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</si>
  <si>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</si>
  <si>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</si>
  <si>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</si>
  <si>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</si>
  <si>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</si>
  <si>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</si>
  <si>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</si>
  <si>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</si>
  <si>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</si>
  <si>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</si>
  <si>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</si>
  <si>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</si>
  <si>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</si>
  <si>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</si>
  <si>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</si>
  <si>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</si>
  <si>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</si>
  <si>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</si>
  <si>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</si>
  <si>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</si>
  <si>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</si>
  <si>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</si>
  <si>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</si>
  <si>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</si>
  <si>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</si>
  <si>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</si>
  <si>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</si>
  <si>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</si>
  <si>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</si>
  <si>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</si>
  <si>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</si>
  <si>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</si>
  <si>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</si>
  <si>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</si>
  <si>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</si>
  <si>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</si>
  <si>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</si>
  <si>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</si>
  <si>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</si>
  <si>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</si>
  <si>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</si>
  <si>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</si>
  <si>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</si>
  <si>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</si>
  <si>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</si>
  <si>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</si>
  <si>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</si>
  <si>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</si>
  <si>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</si>
  <si>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</si>
  <si>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</si>
  <si>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</si>
  <si>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</si>
  <si>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</si>
  <si>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</si>
  <si>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</si>
  <si>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</si>
  <si>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</si>
  <si>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</si>
  <si>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</si>
  <si>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</si>
  <si>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</si>
  <si>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</si>
  <si>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</si>
  <si>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</si>
  <si>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</si>
  <si>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</si>
  <si>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</si>
  <si>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</si>
  <si>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</si>
  <si>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</si>
  <si>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</si>
  <si>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</si>
  <si>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</si>
  <si>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</si>
  <si>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</si>
  <si>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</si>
  <si>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</si>
  <si>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</si>
  <si>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</si>
  <si>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</si>
  <si>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</si>
  <si>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</si>
  <si>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</si>
  <si>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</si>
  <si>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</si>
  <si>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</si>
  <si>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</si>
  <si>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</si>
  <si>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</si>
  <si>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</si>
  <si>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</si>
  <si>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</si>
  <si>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</si>
  <si>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</si>
  <si>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</si>
  <si>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</si>
  <si>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</si>
  <si>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</si>
  <si>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</si>
  <si>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</si>
  <si>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</si>
  <si>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</si>
  <si>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</si>
  <si>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</si>
  <si>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</si>
  <si>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</si>
  <si>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</si>
  <si>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</si>
  <si>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</si>
  <si>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</si>
  <si>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</si>
  <si>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</si>
  <si>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</si>
  <si>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</si>
  <si>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</si>
  <si>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</si>
  <si>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</si>
  <si>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</si>
  <si>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</si>
  <si>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</si>
  <si>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</si>
  <si>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</si>
  <si>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</si>
  <si>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</si>
  <si>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</si>
  <si>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</si>
  <si>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</si>
  <si>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</si>
  <si>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</si>
  <si>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</si>
  <si>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</si>
  <si>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</si>
  <si>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</si>
  <si>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</si>
  <si>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</si>
  <si>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</si>
  <si>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</si>
  <si>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</si>
  <si>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</si>
  <si>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</si>
  <si>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</si>
  <si>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</si>
  <si>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</si>
  <si>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</si>
  <si>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</si>
  <si>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</si>
  <si>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</si>
  <si>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</si>
  <si>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</si>
  <si>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</si>
  <si>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</si>
  <si>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</si>
  <si>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</si>
  <si>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</si>
  <si>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</si>
  <si>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</si>
  <si>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</si>
  <si>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</si>
  <si>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</si>
  <si>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</si>
  <si>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</si>
  <si>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</si>
  <si>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</si>
  <si>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</si>
  <si>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</si>
  <si>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</si>
  <si>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</si>
  <si>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</si>
  <si>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</si>
  <si>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</si>
  <si>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</si>
  <si>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</si>
  <si>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</si>
  <si>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</si>
  <si>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</si>
  <si>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</si>
  <si>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</si>
  <si>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</si>
  <si>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</si>
  <si>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</si>
  <si>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</si>
  <si>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</si>
  <si>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</si>
  <si>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</si>
  <si>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</si>
  <si>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</si>
  <si>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</si>
  <si>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</si>
  <si>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</si>
  <si>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</si>
  <si>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</si>
  <si>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</si>
  <si>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</si>
  <si>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</si>
  <si>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</si>
  <si>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</si>
  <si>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</si>
  <si>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</si>
  <si>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</si>
  <si>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</si>
  <si>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</si>
  <si>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</si>
  <si>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</si>
  <si>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</si>
  <si>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</si>
  <si>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</si>
  <si>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</si>
  <si>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</si>
  <si>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</si>
  <si>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</si>
  <si>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</si>
  <si>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</si>
  <si>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</si>
  <si>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</si>
  <si>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</si>
  <si>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</si>
  <si>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</si>
  <si>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</si>
  <si>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</si>
  <si>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</si>
  <si>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</si>
  <si>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</si>
  <si>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</si>
  <si>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</si>
  <si>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</si>
  <si>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</si>
  <si>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</si>
  <si>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</si>
  <si>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</si>
  <si>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</si>
  <si>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</si>
  <si>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</si>
  <si>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</si>
  <si>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</si>
  <si>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</si>
  <si>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</si>
  <si>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</si>
  <si>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</si>
  <si>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</si>
  <si>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</si>
  <si>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</si>
  <si>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</si>
  <si>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</si>
  <si>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</si>
  <si>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</si>
  <si>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</si>
  <si>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</si>
  <si>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</si>
  <si>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</si>
  <si>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</si>
  <si>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</si>
  <si>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</si>
  <si>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</si>
  <si>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</si>
  <si>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</si>
  <si>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</si>
  <si>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</si>
  <si>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</si>
  <si>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</si>
  <si>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</si>
  <si>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</si>
  <si>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</si>
  <si>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</si>
  <si>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</si>
  <si>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</si>
  <si>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</si>
  <si>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</si>
  <si>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</si>
  <si>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</si>
  <si>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</si>
  <si>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</si>
  <si>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</si>
  <si>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</si>
  <si>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</si>
  <si>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</si>
  <si>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</si>
  <si>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</si>
  <si>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</si>
  <si>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</si>
  <si>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</si>
  <si>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</si>
  <si>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</si>
  <si>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</si>
  <si>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</si>
  <si>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</si>
  <si>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</si>
  <si>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</si>
  <si>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</si>
  <si>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</si>
  <si>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</si>
  <si>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</si>
  <si>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</si>
  <si>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</si>
  <si>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</si>
  <si>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</si>
  <si>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</si>
  <si>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</si>
  <si>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</si>
  <si>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</si>
  <si>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</si>
  <si>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</si>
  <si>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</si>
  <si>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</si>
  <si>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</si>
  <si>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</si>
  <si>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</si>
  <si>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</si>
  <si>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</si>
  <si>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</si>
  <si>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</si>
  <si>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</si>
  <si>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</si>
  <si>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</si>
  <si>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</si>
  <si>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</si>
  <si>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</si>
  <si>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</si>
  <si>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</si>
  <si>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</si>
  <si>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</si>
  <si>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</si>
  <si>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</si>
  <si>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</si>
  <si>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</si>
  <si>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</si>
  <si>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</si>
  <si>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</si>
  <si>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</si>
  <si>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</si>
  <si>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</si>
  <si>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</si>
  <si>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</si>
  <si>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</si>
  <si>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</si>
  <si>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</si>
  <si>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</si>
  <si>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</si>
  <si>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</si>
  <si>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</si>
  <si>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</si>
  <si>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</si>
  <si>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</si>
  <si>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</si>
  <si>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</si>
  <si>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</si>
  <si>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</si>
  <si>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</si>
  <si>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</si>
  <si>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</si>
  <si>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</si>
  <si>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</si>
  <si>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</si>
  <si>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</si>
  <si>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</si>
  <si>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</si>
  <si>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</si>
  <si>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</si>
  <si>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</si>
  <si>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</si>
  <si>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</si>
  <si>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</si>
  <si>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</si>
  <si>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</si>
  <si>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</si>
  <si>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</si>
  <si>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</si>
  <si>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</si>
  <si>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</si>
  <si>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</si>
  <si>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</si>
  <si>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</si>
  <si>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</si>
  <si>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</si>
  <si>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</si>
  <si>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</si>
  <si>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</si>
  <si>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</si>
  <si>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</si>
  <si>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</si>
  <si>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</si>
  <si>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</si>
  <si>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</si>
  <si>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</si>
  <si>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</si>
  <si>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</si>
  <si>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</si>
  <si>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</si>
  <si>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</si>
  <si>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</si>
  <si>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</si>
  <si>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</si>
  <si>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</si>
  <si>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</si>
  <si>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</si>
  <si>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</si>
  <si>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</si>
  <si>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</si>
  <si>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</si>
  <si>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</si>
  <si>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</si>
  <si>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</si>
  <si>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</si>
  <si>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</si>
  <si>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</si>
  <si>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</si>
  <si>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</si>
  <si>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</si>
  <si>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</si>
  <si>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</si>
  <si>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</si>
  <si>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</si>
  <si>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</si>
  <si>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</si>
  <si>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</si>
  <si>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</si>
  <si>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</si>
  <si>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</si>
  <si>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</si>
  <si>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</si>
  <si>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</si>
  <si>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</si>
  <si>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</si>
  <si>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</si>
  <si>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</si>
  <si>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</si>
  <si>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</si>
  <si>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</si>
  <si>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</si>
  <si>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</si>
  <si>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</si>
  <si>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</si>
  <si>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</si>
  <si>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</si>
  <si>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</si>
  <si>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</si>
  <si>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</si>
  <si>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</si>
  <si>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</si>
  <si>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</si>
  <si>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</si>
  <si>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</si>
  <si>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</si>
  <si>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</si>
  <si>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</si>
  <si>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</si>
  <si>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</si>
  <si>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</si>
  <si>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</si>
  <si>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</si>
  <si>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</si>
  <si>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</si>
  <si>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</si>
  <si>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</si>
  <si>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</si>
  <si>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</si>
  <si>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</si>
  <si>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</si>
  <si>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</si>
  <si>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</si>
  <si>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</si>
  <si>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</si>
  <si>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</si>
  <si>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</si>
  <si>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</si>
  <si>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</si>
  <si>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</si>
  <si>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</si>
  <si>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</si>
  <si>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</si>
  <si>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</si>
  <si>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</si>
  <si>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</si>
  <si>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</si>
  <si>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</si>
  <si>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</si>
  <si>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</si>
  <si>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</si>
  <si>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</si>
  <si>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</si>
  <si>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</si>
  <si>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</si>
  <si>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</si>
  <si>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</si>
  <si>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</si>
  <si>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</si>
  <si>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</si>
  <si>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</si>
  <si>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</si>
  <si>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</si>
  <si>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</si>
  <si>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</si>
  <si>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</si>
  <si>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</si>
  <si>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</si>
  <si>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</si>
  <si>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</si>
  <si>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</si>
  <si>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</si>
  <si>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</si>
  <si>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</si>
  <si>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</si>
  <si>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</si>
  <si>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</si>
  <si>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</si>
  <si>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</si>
  <si>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</si>
  <si>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</si>
  <si>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</si>
  <si>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</si>
  <si>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</si>
  <si>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</si>
  <si>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</si>
  <si>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</si>
  <si>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</si>
  <si>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</si>
  <si>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</si>
  <si>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</si>
  <si>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</si>
  <si>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</si>
  <si>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</si>
  <si>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</si>
  <si>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</si>
  <si>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</si>
  <si>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</si>
  <si>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</si>
  <si>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</si>
  <si>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</si>
  <si>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</si>
  <si>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</si>
  <si>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</si>
  <si>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</si>
  <si>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</si>
  <si>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</si>
  <si>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</si>
  <si>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</si>
  <si>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</si>
  <si>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</si>
  <si>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</si>
  <si>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</si>
  <si>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</si>
  <si>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</si>
  <si>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</si>
  <si>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</si>
  <si>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</si>
  <si>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</si>
  <si>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</si>
  <si>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</si>
  <si>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</si>
  <si>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</si>
  <si>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</si>
  <si>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</si>
  <si>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</si>
  <si>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</si>
  <si>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</si>
  <si>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</si>
  <si>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</si>
  <si>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</si>
  <si>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</si>
  <si>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</si>
  <si>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</si>
  <si>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</si>
  <si>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</si>
  <si>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</si>
  <si>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</si>
  <si>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</si>
  <si>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</si>
  <si>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</si>
  <si>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</si>
  <si>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</si>
  <si>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</si>
  <si>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</si>
  <si>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</si>
  <si>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</si>
  <si>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</si>
  <si>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</si>
  <si>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</si>
  <si>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</si>
  <si>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</si>
  <si>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</si>
  <si>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</si>
  <si>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</si>
  <si>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</si>
  <si>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</si>
  <si>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</si>
  <si>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</si>
  <si>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</si>
  <si>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</si>
  <si>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</si>
  <si>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</si>
  <si>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</si>
  <si>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</si>
  <si>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</si>
  <si>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</si>
  <si>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</si>
  <si>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</si>
  <si>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</si>
  <si>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</si>
  <si>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</si>
  <si>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</si>
  <si>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</si>
  <si>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</si>
  <si>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</si>
  <si>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</si>
  <si>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</si>
  <si>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</si>
  <si>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</si>
  <si>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</si>
  <si>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</si>
  <si>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</si>
  <si>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</si>
  <si>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</si>
  <si>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</si>
  <si>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</si>
  <si>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</si>
  <si>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</si>
  <si>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</si>
  <si>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</si>
  <si>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</si>
  <si>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</si>
  <si>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</si>
  <si>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</si>
  <si>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</si>
  <si>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</si>
  <si>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</si>
  <si>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</si>
  <si>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</si>
  <si>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</si>
  <si>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</si>
  <si>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</si>
  <si>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</si>
  <si>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</si>
  <si>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</si>
  <si>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</si>
  <si>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</si>
  <si>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</si>
  <si>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</si>
  <si>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</si>
  <si>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</si>
  <si>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</si>
  <si>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ORIANA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</si>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</sst>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4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3" applyNumberFormat="1" fontId="88" applyFont="1" fillId="7" applyFill="1" borderId="21" applyBorder="1" xfId="1" applyProtection="1" applyAlignment="1">
      <alignment horizontal="center"/>
    </xf>
    <xf numFmtId="0" fontId="56" applyFont="1" fillId="16" applyFill="1" borderId="59" applyBorder="1" xfId="0" applyProtection="1" applyAlignment="1">
      <alignment vertical="center"/>
    </xf>
    <xf numFmtId="0" fontId="0" fillId="0" borderId="0" xfId="0" applyProtection="1"/>
    <xf numFmtId="0" fontId="58" applyFont="1" fillId="0" borderId="0" xfId="0" applyProtection="1"/>
    <xf numFmtId="3" applyNumberFormat="1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0" fillId="0" borderId="0" xfId="0" applyProtection="1"/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49" totalsRowDxfId="245"/>
    <tableColumn id="2" xr3:uid="{00000000-0010-0000-0400-000002000000}" name="عدد" dataDxfId="249" totalsRowDxfId="24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49" totalsRowDxfId="245"/>
    <tableColumn id="11" xr3:uid="{00000000-0010-0000-0400-00000B000000}" name="Column2" dataDxfId="249" totalsRowDxfId="245"/>
    <tableColumn id="10" xr3:uid="{00000000-0010-0000-0400-00000A000000}" name="Column1" dataDxfId="249" totalsRowDxfId="245"/>
    <tableColumn id="12" xr3:uid="{00000000-0010-0000-0400-00000C000000}" name="المسطح" totalsRowFunction="sum" dataDxfId="251" totalsRowDxfId="250">
      <calculatedColumnFormula>(Table1[[#This Row],[Column1]]+Table1[[#This Row],[Column2]])*12*Table1[[#This Row],[عدد]]</calculatedColumnFormula>
    </tableColumn>
    <tableColumn id="4" xr3:uid="{00000000-0010-0000-0400-000004000000}" name="الوحده" dataDxfId="249" totalsRowDxfId="245"/>
    <tableColumn id="5" xr3:uid="{00000000-0010-0000-0400-000005000000}" name="الوزن" totalsRowFunction="custom" totalsRowDxfId="245">
      <totalsRowFormula>(H6*B6)+(H8*B8)+(H7*B7)</totalsRowFormula>
    </tableColumn>
    <tableColumn id="6" xr3:uid="{00000000-0010-0000-0400-000006000000}" name="مسطح" dataDxfId="246" totalsRowDxfId="245"/>
    <tableColumn id="7" xr3:uid="{00000000-0010-0000-0400-000007000000}" name="سعر الشبك " dataDxfId="318" totalsRowDxfId="243">
      <calculatedColumnFormula>H6*$H$2/1000</calculatedColumnFormula>
    </tableColumn>
    <tableColumn id="8" xr3:uid="{00000000-0010-0000-0400-000008000000}" name="اجمالي" totalsRowFunction="sum" dataDxfId="242" totalsRowDxfId="241">
      <calculatedColumnFormula>B6*J6</calculatedColumnFormula>
    </tableColumn>
    <tableColumn id="9" xr3:uid="{00000000-0010-0000-0400-000009000000}" name="%" totalsRowFunction="custom" totalsRowDxfId="240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64"/>
    <tableColumn id="2" xr3:uid="{00000000-0010-0000-5E00-000002000000}" name="عدد" dataDxfId="262">
      <calculatedColumnFormula>IF((BL62="الاسكندرية"),0.25,0.1)</calculatedColumnFormula>
    </tableColumn>
    <tableColumn id="3" xr3:uid="{00000000-0010-0000-5E00-000003000000}" name="بيان" totalsRowLabel="Total" dataDxfId="264"/>
    <tableColumn id="11" xr3:uid="{00000000-0010-0000-5E00-00000B000000}" name="Column2" dataDxfId="264"/>
    <tableColumn id="10" xr3:uid="{00000000-0010-0000-5E00-00000A000000}" name="Column1" dataDxfId="264"/>
    <tableColumn id="12" xr3:uid="{00000000-0010-0000-5E00-00000C000000}" name="Column12" totalsRowFunction="sum" dataDxfId="279"/>
    <tableColumn id="4" xr3:uid="{00000000-0010-0000-5E00-000004000000}" name="الوحده" dataDxfId="278"/>
    <tableColumn id="5" xr3:uid="{00000000-0010-0000-5E00-000005000000}" name="الوزن" dataDxfId="264"/>
    <tableColumn id="6" xr3:uid="{00000000-0010-0000-5E00-000006000000}" name="سعر الكيلو" dataDxfId="264"/>
    <tableColumn id="7" xr3:uid="{00000000-0010-0000-5E00-000007000000}" name="سعر الشبك " dataDxfId="275">
      <calculatedColumnFormula>BQ45</calculatedColumnFormula>
    </tableColumn>
    <tableColumn id="8" xr3:uid="{00000000-0010-0000-5E00-000008000000}" name="اجمالي" totalsRowFunction="sum" dataDxfId="242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67"/>
    <tableColumn id="2" xr3:uid="{00000000-0010-0000-5F00-000002000000}" name="خارجي" dataDxfId="267"/>
    <tableColumn id="3" xr3:uid="{00000000-0010-0000-5F00-000003000000}" name="داخلي" dataDxfId="267"/>
    <tableColumn id="4" xr3:uid="{00000000-0010-0000-5F00-000004000000}" name="بدل الوجبة" dataDxfId="267"/>
    <tableColumn id="5" xr3:uid="{00000000-0010-0000-5F00-000005000000}" name="دبابة" dataDxfId="267"/>
    <tableColumn id="6" xr3:uid="{00000000-0010-0000-5F00-000006000000}" name="جامبو" dataDxfId="267"/>
    <tableColumn id="7" xr3:uid="{00000000-0010-0000-5F00-000007000000}" name="الاقامة" dataDxfId="267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64"/>
    <tableColumn id="4" xr3:uid="{00000000-0010-0000-6000-000004000000}" name="Column22" dataDxfId="264"/>
    <tableColumn id="5" xr3:uid="{00000000-0010-0000-6000-000005000000}" name="Column23" dataDxfId="264"/>
    <tableColumn id="3" xr3:uid="{00000000-0010-0000-6000-000003000000}" name="Column3" dataDxfId="26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6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49" totalsRowDxfId="245"/>
    <tableColumn id="2" xr3:uid="{00000000-0010-0000-6100-000002000000}" name="عدد" dataDxfId="249" totalsRowDxfId="245"/>
    <tableColumn id="3" xr3:uid="{00000000-0010-0000-6100-000003000000}" name="بيان" totalsRowLabel="Total" dataDxfId="249" totalsRowDxfId="245"/>
    <tableColumn id="11" xr3:uid="{00000000-0010-0000-6100-00000B000000}" name="Column2" dataDxfId="249" totalsRowDxfId="245"/>
    <tableColumn id="10" xr3:uid="{00000000-0010-0000-6100-00000A000000}" name="Column1" dataDxfId="249" totalsRowDxfId="245"/>
    <tableColumn id="12" xr3:uid="{00000000-0010-0000-6100-00000C000000}" name="المسطح" totalsRowFunction="sum" dataDxfId="251" totalsRowDxfId="250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49" totalsRowDxfId="245"/>
    <tableColumn id="5" xr3:uid="{00000000-0010-0000-6100-000005000000}" name="الوزن" totalsRowFunction="custom" totalsRowDxfId="245">
      <totalsRowFormula>(BN6*BH6)+(BN7*BG7)+(BN8*BG8)+(BN9*BG9)</totalsRowFormula>
    </tableColumn>
    <tableColumn id="6" xr3:uid="{00000000-0010-0000-6100-000006000000}" name="اجمالي المسطح" totalsRowFunction="sum" dataDxfId="246" totalsRowDxfId="245">
      <calculatedColumnFormula>Table1588090[[#This Row],[المسطح]]*Table1588090[[#This Row],[عدد]]</calculatedColumnFormula>
    </tableColumn>
    <tableColumn id="7" xr3:uid="{00000000-0010-0000-6100-000007000000}" name="سعر الشبك " dataDxfId="244" totalsRowDxfId="243">
      <calculatedColumnFormula>BN6*$S$2/1000</calculatedColumnFormula>
    </tableColumn>
    <tableColumn id="8" xr3:uid="{00000000-0010-0000-6100-000008000000}" name="اجمالي" totalsRowFunction="sum" dataDxfId="242" totalsRowDxfId="241">
      <calculatedColumnFormula>BH6*BP6</calculatedColumnFormula>
    </tableColumn>
    <tableColumn id="9" xr3:uid="{00000000-0010-0000-6100-000009000000}" name="%" totalsRowFunction="custom" totalsRowDxfId="240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0" totalsRowDxfId="238"/>
    <tableColumn id="2" xr3:uid="{00000000-0010-0000-6200-000002000000}" name="عدد" totalsRowFunction="custom" totalsRowDxfId="237">
      <totalsRowFormula>(Table8091[[#Totals],[price]]*1.1)/(BA1*AY1/10000)</totalsRowFormula>
    </tableColumn>
    <tableColumn id="3" xr3:uid="{00000000-0010-0000-6200-000003000000}" name="طول" dataDxfId="230" totalsRowDxfId="229"/>
    <tableColumn id="4" xr3:uid="{00000000-0010-0000-6200-000004000000}" name="Column2" dataDxfId="230" totalsRowDxfId="229"/>
    <tableColumn id="5" xr3:uid="{00000000-0010-0000-6200-000005000000}" name="wt/m" dataDxfId="230" totalsRowDxfId="229"/>
    <tableColumn id="6" xr3:uid="{00000000-0010-0000-6200-000006000000}" name="price" totalsRowFunction="sum" dataDxfId="230" totalsRowDxfId="229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49" totalsRowDxfId="3"/>
    <tableColumn id="2" xr3:uid="{00000000-0010-0000-6300-000002000000}" name="عدد" dataDxfId="246" totalsRowDxfId="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49" totalsRowDxfId="3"/>
    <tableColumn id="11" xr3:uid="{00000000-0010-0000-6300-00000B000000}" name="Column2" dataDxfId="249" totalsRowDxfId="3"/>
    <tableColumn id="10" xr3:uid="{00000000-0010-0000-6300-00000A000000}" name="Column1" dataDxfId="249" totalsRowDxfId="3"/>
    <tableColumn id="12" xr3:uid="{00000000-0010-0000-6300-00000C000000}" name="Column12" dataDxfId="249" totalsRowDxfId="3"/>
    <tableColumn id="4" xr3:uid="{00000000-0010-0000-6300-000004000000}" name="الوحده" totalsRowLabel="total" dataDxfId="249" totalsRowDxfId="3"/>
    <tableColumn id="5" xr3:uid="{00000000-0010-0000-6300-000005000000}" name="الوزن" dataDxfId="249" totalsRowDxfId="3"/>
    <tableColumn id="6" xr3:uid="{00000000-0010-0000-6300-000006000000}" name="سعر الكيلو" dataDxfId="249" totalsRowDxfId="3"/>
    <tableColumn id="7" xr3:uid="{00000000-0010-0000-6300-000007000000}" name="سعر الشبك " dataDxfId="318" totalsRowDxfId="288">
      <calculatedColumnFormula>BP28</calculatedColumnFormula>
    </tableColumn>
    <tableColumn id="8" xr3:uid="{00000000-0010-0000-6300-000008000000}" name="اجمالي" totalsRowFunction="sum" dataDxfId="242" totalsRowDxfId="286">
      <calculatedColumnFormula>BH98*BP99</calculatedColumnFormula>
    </tableColumn>
    <tableColumn id="9" xr3:uid="{00000000-0010-0000-6300-000009000000}" name="%" totalsRowFunction="custom" totalsRowDxfId="28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49" totalsRowDxfId="245"/>
    <tableColumn id="2" xr3:uid="{00000000-0010-0000-6400-000002000000}" name="عدد" dataDxfId="246" totalsRowDxfId="245">
      <calculatedColumnFormula>IF((#REF!="بالتات"),0,4)</calculatedColumnFormula>
    </tableColumn>
    <tableColumn id="3" xr3:uid="{00000000-0010-0000-6400-000003000000}" name="بيان" totalsRowLabel="Total" dataDxfId="249" totalsRowDxfId="245"/>
    <tableColumn id="11" xr3:uid="{00000000-0010-0000-6400-00000B000000}" name="Column2" dataDxfId="249" totalsRowDxfId="245"/>
    <tableColumn id="10" xr3:uid="{00000000-0010-0000-6400-00000A000000}" name="Column1" dataDxfId="249" totalsRowDxfId="245"/>
    <tableColumn id="12" xr3:uid="{00000000-0010-0000-6400-00000C000000}" name="Column12" dataDxfId="251" totalsRowDxfId="250"/>
    <tableColumn id="4" xr3:uid="{00000000-0010-0000-6400-000004000000}" name="الوحده" dataDxfId="249" totalsRowDxfId="245"/>
    <tableColumn id="5" xr3:uid="{00000000-0010-0000-6400-000005000000}" name="الوزن" dataDxfId="249" totalsRowDxfId="245"/>
    <tableColumn id="6" xr3:uid="{00000000-0010-0000-6400-000006000000}" name="سعر الكيلو" dataDxfId="249" totalsRowDxfId="245"/>
    <tableColumn id="7" xr3:uid="{00000000-0010-0000-6400-000007000000}" name="سعر الشبك " dataDxfId="275" totalsRowDxfId="243">
      <calculatedColumnFormula>Sheet2!AW26</calculatedColumnFormula>
    </tableColumn>
    <tableColumn id="8" xr3:uid="{00000000-0010-0000-6400-000008000000}" name="اجمالي" totalsRowFunction="sum" dataDxfId="242" totalsRowDxfId="241">
      <calculatedColumnFormula>BH84*BP84</calculatedColumnFormula>
    </tableColumn>
    <tableColumn id="9" xr3:uid="{00000000-0010-0000-6400-000009000000}" name="%" totalsRowFunction="custom" totalsRowDxfId="24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49"/>
    <tableColumn id="2" xr3:uid="{00000000-0010-0000-6500-000002000000}" name="عدد" totalsRowFunction="sum" dataDxfId="249">
      <calculatedColumnFormula>BH90*4</calculatedColumnFormula>
    </tableColumn>
    <tableColumn id="3" xr3:uid="{00000000-0010-0000-6500-000003000000}" name="بيان" totalsRowLabel="Total" dataDxfId="249"/>
    <tableColumn id="11" xr3:uid="{00000000-0010-0000-6500-00000B000000}" name="Column2" dataDxfId="249"/>
    <tableColumn id="10" xr3:uid="{00000000-0010-0000-6500-00000A000000}" name="Column1" dataDxfId="249"/>
    <tableColumn id="12" xr3:uid="{00000000-0010-0000-6500-00000C000000}" name="Column12" totalsRowFunction="sum" dataDxfId="2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49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46"/>
    <tableColumn id="7" xr3:uid="{00000000-0010-0000-6500-000007000000}" name="سعر الشبك " dataDxfId="318">
      <calculatedColumnFormula>BN92*$S$2/1000</calculatedColumnFormula>
    </tableColumn>
    <tableColumn id="8" xr3:uid="{00000000-0010-0000-6500-000008000000}" name="اجمالي" totalsRowFunction="sum" dataDxfId="242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67"/>
    <tableColumn id="2" xr3:uid="{00000000-0010-0000-6600-000002000000}" name="المعدل" dataDxfId="267"/>
    <tableColumn id="3" xr3:uid="{00000000-0010-0000-6600-000003000000}" name="الوحدة" dataDxfId="267"/>
    <tableColumn id="4" xr3:uid="{00000000-0010-0000-6600-000004000000}" name="Column4" dataDxfId="311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67"/>
    <tableColumn id="2" xr3:uid="{00000000-0010-0000-6700-000002000000}" name="Column2" dataDxfId="311"/>
    <tableColumn id="3" xr3:uid="{00000000-0010-0000-6700-000003000000}" name="Column3" dataDxfId="267"/>
    <tableColumn id="4" xr3:uid="{00000000-0010-0000-6700-000004000000}" name="Column4" dataDxfId="267"/>
    <tableColumn id="5" xr3:uid="{00000000-0010-0000-6700-000005000000}" name="Column5" dataDxfId="267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49" totalsRowDxfId="3"/>
    <tableColumn id="2" xr3:uid="{00000000-0010-0000-0500-000002000000}" name="عدد" dataDxfId="246" totalsRowDxfId="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49" totalsRowDxfId="3"/>
    <tableColumn id="11" xr3:uid="{00000000-0010-0000-0500-00000B000000}" name="Column2" dataDxfId="249" totalsRowDxfId="3"/>
    <tableColumn id="10" xr3:uid="{00000000-0010-0000-0500-00000A000000}" name="Column1" dataDxfId="249" totalsRowDxfId="3"/>
    <tableColumn id="12" xr3:uid="{00000000-0010-0000-0500-00000C000000}" name="Column12" dataDxfId="249" totalsRowDxfId="3"/>
    <tableColumn id="4" xr3:uid="{00000000-0010-0000-0500-000004000000}" name="الوحده" totalsRowLabel="total" dataDxfId="249" totalsRowDxfId="3"/>
    <tableColumn id="5" xr3:uid="{00000000-0010-0000-0500-000005000000}" name="الوزن" dataDxfId="249" totalsRowDxfId="3"/>
    <tableColumn id="6" xr3:uid="{00000000-0010-0000-0500-000006000000}" name="سعر الكيلو" dataDxfId="249" totalsRowDxfId="3"/>
    <tableColumn id="7" xr3:uid="{00000000-0010-0000-0500-000007000000}" name="سعر الشبك " dataDxfId="318" totalsRowDxfId="288">
      <calculatedColumnFormula>Sheet2!B8</calculatedColumnFormula>
    </tableColumn>
    <tableColumn id="8" xr3:uid="{00000000-0010-0000-0500-000008000000}" name="اجمالي" totalsRowFunction="sum" dataDxfId="242" totalsRowDxfId="286">
      <calculatedColumnFormula>B35*J35</calculatedColumnFormula>
    </tableColumn>
    <tableColumn id="9" xr3:uid="{00000000-0010-0000-0500-000009000000}" name="%" totalsRowFunction="custom" totalsRowDxfId="285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49" totalsRowDxfId="3"/>
    <tableColumn id="2" xr3:uid="{00000000-0010-0000-6800-000002000000}" name="عدد" dataDxfId="262" totalsRowDxfId="3">
      <calculatedColumnFormula>IF((تسعير!$AU$14="بالتات"),0,BH119-2)</calculatedColumnFormula>
    </tableColumn>
    <tableColumn id="3" xr3:uid="{00000000-0010-0000-6800-000003000000}" name="بيان" totalsRowLabel="Total" dataDxfId="301" totalsRowDxfId="3"/>
    <tableColumn id="5" xr3:uid="{00000000-0010-0000-6800-000005000000}" name="اليومية / الاجرة" dataDxfId="301" totalsRowDxfId="3"/>
    <tableColumn id="6" xr3:uid="{00000000-0010-0000-6800-000006000000}" name="بدل الوجبة" dataDxfId="299" totalsRowDxfId="3"/>
    <tableColumn id="11" xr3:uid="{00000000-0010-0000-6800-00000B000000}" name="موقع العمل" dataDxfId="264" totalsRowDxfId="3">
      <calculatedColumnFormula>تسعير!$BE$44</calculatedColumnFormula>
    </tableColumn>
    <tableColumn id="10" xr3:uid="{00000000-0010-0000-6800-00000A000000}" name="شيفت العمل" dataDxfId="249" totalsRowDxfId="3"/>
    <tableColumn id="12" xr3:uid="{00000000-0010-0000-6800-00000C000000}" name="Column12" totalsRowFunction="sum" dataDxfId="251" totalsRowDxfId="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91" totalsRowDxfId="3"/>
    <tableColumn id="7" xr3:uid="{00000000-0010-0000-6800-000007000000}" name="اجمالي التكلفة للعامل" dataDxfId="289" totalsRowDxfId="288">
      <calculatedColumnFormula>Table1612677697108[[#This Row],[Column12]]</calculatedColumnFormula>
    </tableColumn>
    <tableColumn id="8" xr3:uid="{00000000-0010-0000-6800-000008000000}" name="اجمالي" totalsRowFunction="sum" dataDxfId="242" totalsRowDxfId="286">
      <calculatedColumnFormula>BH122*BP122</calculatedColumnFormula>
    </tableColumn>
    <tableColumn id="9" xr3:uid="{00000000-0010-0000-6800-000009000000}" name="%" totalsRowFunction="custom" totalsRowDxfId="285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64"/>
    <tableColumn id="2" xr3:uid="{00000000-0010-0000-6900-000002000000}" name="عدد" dataDxfId="262">
      <calculatedColumnFormula>IF((BL133="الاسكندرية"),0.25,0.1)</calculatedColumnFormula>
    </tableColumn>
    <tableColumn id="3" xr3:uid="{00000000-0010-0000-6900-000003000000}" name="بيان" totalsRowLabel="Total" dataDxfId="264"/>
    <tableColumn id="11" xr3:uid="{00000000-0010-0000-6900-00000B000000}" name="Column2" dataDxfId="264"/>
    <tableColumn id="10" xr3:uid="{00000000-0010-0000-6900-00000A000000}" name="Column1" dataDxfId="264"/>
    <tableColumn id="12" xr3:uid="{00000000-0010-0000-6900-00000C000000}" name="Column12" totalsRowFunction="sum" dataDxfId="279"/>
    <tableColumn id="4" xr3:uid="{00000000-0010-0000-6900-000004000000}" name="الوحده" dataDxfId="278"/>
    <tableColumn id="5" xr3:uid="{00000000-0010-0000-6900-000005000000}" name="الوزن" dataDxfId="264"/>
    <tableColumn id="6" xr3:uid="{00000000-0010-0000-6900-000006000000}" name="سعر الكيلو" dataDxfId="264"/>
    <tableColumn id="7" xr3:uid="{00000000-0010-0000-6900-000007000000}" name="سعر الشبك " dataDxfId="275">
      <calculatedColumnFormula>BQ116</calculatedColumnFormula>
    </tableColumn>
    <tableColumn id="8" xr3:uid="{00000000-0010-0000-6900-000008000000}" name="اجمالي" totalsRowFunction="sum" dataDxfId="242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67"/>
    <tableColumn id="2" xr3:uid="{00000000-0010-0000-6A00-000002000000}" name="خارجي" dataDxfId="267"/>
    <tableColumn id="3" xr3:uid="{00000000-0010-0000-6A00-000003000000}" name="داخلي" dataDxfId="267"/>
    <tableColumn id="4" xr3:uid="{00000000-0010-0000-6A00-000004000000}" name="بدل الوجبة" dataDxfId="267"/>
    <tableColumn id="5" xr3:uid="{00000000-0010-0000-6A00-000005000000}" name="دبابة" dataDxfId="267"/>
    <tableColumn id="6" xr3:uid="{00000000-0010-0000-6A00-000006000000}" name="جامبو" dataDxfId="267"/>
    <tableColumn id="7" xr3:uid="{00000000-0010-0000-6A00-000007000000}" name="الاقامة" dataDxfId="267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64"/>
    <tableColumn id="4" xr3:uid="{00000000-0010-0000-6B00-000004000000}" name="Column22" dataDxfId="264"/>
    <tableColumn id="5" xr3:uid="{00000000-0010-0000-6B00-000005000000}" name="Column23" dataDxfId="264"/>
    <tableColumn id="3" xr3:uid="{00000000-0010-0000-6B00-000003000000}" name="Column3" dataDxfId="26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6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49" totalsRowDxfId="245"/>
    <tableColumn id="2" xr3:uid="{00000000-0010-0000-6C00-000002000000}" name="عدد" dataDxfId="249" totalsRowDxfId="24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49" totalsRowDxfId="245"/>
    <tableColumn id="11" xr3:uid="{00000000-0010-0000-6C00-00000B000000}" name="Column2" dataDxfId="249" totalsRowDxfId="245"/>
    <tableColumn id="10" xr3:uid="{00000000-0010-0000-6C00-00000A000000}" name="Column1" dataDxfId="249" totalsRowDxfId="245"/>
    <tableColumn id="12" xr3:uid="{00000000-0010-0000-6C00-00000C000000}" name="المسطح" totalsRowFunction="sum" dataDxfId="251" totalsRowDxfId="250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49" totalsRowDxfId="245"/>
    <tableColumn id="5" xr3:uid="{00000000-0010-0000-6C00-000005000000}" name="الوزن" totalsRowFunction="custom" totalsRowDxfId="245">
      <totalsRowFormula>(BN76*BH76)+(BN77*BH77)+(BN78*BH78)+(BN79*BH79)</totalsRowFormula>
    </tableColumn>
    <tableColumn id="6" xr3:uid="{00000000-0010-0000-6C00-000006000000}" name="اجمالي المسطح" totalsRowFunction="sum" dataDxfId="246" totalsRowDxfId="245">
      <calculatedColumnFormula>Table15880101112[[#This Row],[المسطح]]*Table15880101112[[#This Row],[عدد]]</calculatedColumnFormula>
    </tableColumn>
    <tableColumn id="7" xr3:uid="{00000000-0010-0000-6C00-000007000000}" name="سعر الشبك " dataDxfId="244" totalsRowDxfId="243">
      <calculatedColumnFormula>BN76*$S$2/1000</calculatedColumnFormula>
    </tableColumn>
    <tableColumn id="8" xr3:uid="{00000000-0010-0000-6C00-000008000000}" name="اجمالي" totalsRowFunction="sum" dataDxfId="242" totalsRowDxfId="241">
      <calculatedColumnFormula>BH76*BP76</calculatedColumnFormula>
    </tableColumn>
    <tableColumn id="9" xr3:uid="{00000000-0010-0000-6C00-000009000000}" name="%" totalsRowFunction="custom" totalsRowDxfId="240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30" totalsRowDxfId="238"/>
    <tableColumn id="2" xr3:uid="{00000000-0010-0000-6D00-000002000000}" name="عدد" totalsRowFunction="custom" totalsRowDxfId="237">
      <totalsRowFormula>(Table80102113[[#Totals],[price]]*1.1)/(BA72*AY72/10000)</totalsRowFormula>
    </tableColumn>
    <tableColumn id="3" xr3:uid="{00000000-0010-0000-6D00-000003000000}" name="طول" dataDxfId="230" totalsRowDxfId="229"/>
    <tableColumn id="4" xr3:uid="{00000000-0010-0000-6D00-000004000000}" name="Column2" dataDxfId="230" totalsRowDxfId="229"/>
    <tableColumn id="5" xr3:uid="{00000000-0010-0000-6D00-000005000000}" name="wt/m" dataDxfId="230" totalsRowDxfId="229"/>
    <tableColumn id="6" xr3:uid="{00000000-0010-0000-6D00-000006000000}" name="price" totalsRowFunction="sum" dataDxfId="230" totalsRowDxfId="229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04" dataDxfId="91" totalsRowDxfId="102">
  <autoFilter ref="A2:F23" xr:uid="{00000000-0009-0000-0100-000071000000}"/>
  <tableColumns count="6">
    <tableColumn id="1" xr3:uid="{00000000-0010-0000-6E00-000001000000}" name="Column1" totalsRowLabel="Total" dataDxfId="91" totalsRowDxfId="100"/>
    <tableColumn id="2" xr3:uid="{00000000-0010-0000-6E00-000002000000}" name="عدد" totalsRowFunction="custom" dataDxfId="91" totalsRowDxfId="98">
      <totalsRowFormula>(Table80102114[[#Totals],[price]]*1.1)/(F1*D1/10000)</totalsRowFormula>
    </tableColumn>
    <tableColumn id="3" xr3:uid="{00000000-0010-0000-6E00-000003000000}" name="طول" dataDxfId="91" totalsRowDxfId="90"/>
    <tableColumn id="4" xr3:uid="{00000000-0010-0000-6E00-000004000000}" name="Column2" dataDxfId="91" totalsRowDxfId="90"/>
    <tableColumn id="5" xr3:uid="{00000000-0010-0000-6E00-000005000000}" name="wt/m" dataDxfId="91" totalsRowDxfId="90"/>
    <tableColumn id="6" xr3:uid="{00000000-0010-0000-6E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04" dataDxfId="91" totalsRowDxfId="102">
  <autoFilter ref="A75:F96" xr:uid="{00000000-0009-0000-0100-000072000000}"/>
  <tableColumns count="6">
    <tableColumn id="1" xr3:uid="{00000000-0010-0000-6F00-000001000000}" name="Column1" totalsRowLabel="Total" dataDxfId="91" totalsRowDxfId="100"/>
    <tableColumn id="2" xr3:uid="{00000000-0010-0000-6F00-000002000000}" name="عدد" totalsRowFunction="custom" dataDxfId="91" totalsRowDxfId="98">
      <totalsRowFormula>(Table80102114115[[#Totals],[price]]*1.1)/(F74*D74/10000)</totalsRowFormula>
    </tableColumn>
    <tableColumn id="3" xr3:uid="{00000000-0010-0000-6F00-000003000000}" name="طول" dataDxfId="91" totalsRowDxfId="90"/>
    <tableColumn id="4" xr3:uid="{00000000-0010-0000-6F00-000004000000}" name="Column2" dataDxfId="91" totalsRowDxfId="90"/>
    <tableColumn id="5" xr3:uid="{00000000-0010-0000-6F00-000005000000}" name="wt/m" dataDxfId="91" totalsRowDxfId="90"/>
    <tableColumn id="6" xr3:uid="{00000000-0010-0000-6F00-000006000000}" name="price" totalsRowFunction="sum" dataDxfId="91" totalsRowDxfId="9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92">
  <autoFilter ref="B2:F3" xr:uid="{6E284D28-C3AA-4BF5-AA47-75599B0A856C}"/>
  <tableColumns count="5">
    <tableColumn id="1" xr3:uid="{F05C6A66-F43A-449F-8365-F848C3E3FCF4}" name="المنتج" dataDxfId="192">
      <calculatedColumnFormula>تسعير!AH46</calculatedColumnFormula>
    </tableColumn>
    <tableColumn id="2" xr3:uid="{0CEFF7DA-9167-4759-90A5-641D43832BD8}" name="العرض" dataDxfId="192">
      <calculatedColumnFormula>تسعير!AI46</calculatedColumnFormula>
    </tableColumn>
    <tableColumn id="3" xr3:uid="{8920483F-B230-4954-B6EB-299A021EF592}" name="الامتداد" dataDxfId="192">
      <calculatedColumnFormula>تسعير!AJ46</calculatedColumnFormula>
    </tableColumn>
    <tableColumn id="4" xr3:uid="{07EB60AF-C006-4964-9A4B-3B79BB8020B0}" name="لون الشاسية" dataDxfId="192">
      <calculatedColumnFormula>تسعير!AK46</calculatedColumnFormula>
    </tableColumn>
    <tableColumn id="5" xr3:uid="{E7DFD066-5983-4486-B7BE-468171A981A3}" name="لون اللوفرز" dataDxfId="192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2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49"/>
    <tableColumn id="2" xr3:uid="{00000000-0010-0000-0600-000002000000}" name="عدد" dataDxfId="249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49"/>
    <tableColumn id="11" xr3:uid="{00000000-0010-0000-0600-00000B000000}" name="Column2" dataDxfId="249"/>
    <tableColumn id="10" xr3:uid="{00000000-0010-0000-0600-00000A000000}" name="Column1" dataDxfId="249"/>
    <tableColumn id="12" xr3:uid="{00000000-0010-0000-0600-00000C000000}" name="Column12" totalsRowFunction="sum" dataDxfId="24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49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46">
      <calculatedColumnFormula>Table14[[#This Row],[Column12]]*Table14[[#This Row],[عدد]]</calculatedColumnFormula>
    </tableColumn>
    <tableColumn id="7" xr3:uid="{00000000-0010-0000-0600-000007000000}" name="سعر الشبك " dataDxfId="318">
      <calculatedColumnFormula>H12*$I$2/1000</calculatedColumnFormula>
    </tableColumn>
    <tableColumn id="8" xr3:uid="{00000000-0010-0000-0600-000008000000}" name="اجمالي" totalsRowFunction="sum" dataDxfId="242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04" dataDxfId="91" totalsRowDxfId="102">
  <autoFilter ref="B14:G35" xr:uid="{01F8C92F-369B-4B5C-B07A-DC67DD79B1FC}"/>
  <tableColumns count="6">
    <tableColumn id="1" xr3:uid="{BF4333B4-59C0-4EE4-89B9-FEED8A8A131D}" name="Column1" totalsRowLabel="Total" dataDxfId="91" totalsRowDxfId="100"/>
    <tableColumn id="2" xr3:uid="{20C39B5D-0F6B-4807-8E24-DD5BBEDC42F4}" name="عدد" totalsRowFunction="custom" dataDxfId="91" totalsRowDxfId="98">
      <totalsRowFormula>(Table80102[[#Totals],[price]]*1.1)/(E13*C13/10000)</totalsRowFormula>
    </tableColumn>
    <tableColumn id="3" xr3:uid="{45234998-15CC-4591-990E-6C40A423CF54}" name="طول" dataDxfId="91" totalsRowDxfId="90"/>
    <tableColumn id="4" xr3:uid="{4A1E2D76-BA68-478E-A8B0-68B9239E9C44}" name="Column2" dataDxfId="91" totalsRowDxfId="90"/>
    <tableColumn id="5" xr3:uid="{41823737-EC82-4CC7-8E7F-BF2A359EB0F1}" name="wt/m" dataDxfId="91" totalsRowDxfId="90"/>
    <tableColumn id="6" xr3:uid="{31A18015-9562-44BD-ACB0-8D06980C4071}" name="price" totalsRowFunction="sum" dataDxfId="91" totalsRowDxfId="9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0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02" dataDxfId="102" totalsRowDxfId="102">
  <autoFilter ref="B51:P62" xr:uid="{4C7667DF-9D42-41A5-B6E6-118E1FCFA63B}"/>
  <tableColumns count="15">
    <tableColumn id="1" xr3:uid="{369A167F-428C-4461-9DBD-A58A66BAF9A7}" name="قطاعات الألومنيوم " totalsRowLabel="Total" dataDxfId="147" totalsRowDxfId="146" dataCellStyle="Normal 2"/>
    <tableColumn id="2" xr3:uid="{56469A33-367D-427E-BB32-FC4196143BB2}" name="عدد " dataDxfId="145" totalsRowDxfId="144" dataCellStyle="Normal 2"/>
    <tableColumn id="3" xr3:uid="{0CE9ADFD-132C-485C-98C6-EC1A18524D7C}" name="طول بالسنتيمتر " dataDxfId="143" totalsRowDxfId="142" dataCellStyle="Normal 2"/>
    <tableColumn id="4" xr3:uid="{506E5DEA-3439-4ADC-80C2-4611AF278237}" name="1" dataDxfId="106" totalsRowDxfId="2" dataCellStyle="Normal 2"/>
    <tableColumn id="5" xr3:uid="{1115AC2C-AEA0-4516-AD56-DAAF56E2D143}" name="2" dataDxfId="106" totalsRowDxfId="2" dataCellStyle="Normal 2"/>
    <tableColumn id="6" xr3:uid="{6BEE7943-4AF3-40C5-8F21-5AF96C9F6E7E}" name="3" dataDxfId="137" totalsRowDxfId="2" dataCellStyle="Normal 2"/>
    <tableColumn id="14" xr3:uid="{C339D900-5713-413C-BEA2-B416B483EECB}" name="4" dataDxfId="131" totalsRowDxfId="2" dataCellStyle="Normal 2">
      <calculatedColumnFormula>IF(D52&gt;350,4,0)</calculatedColumnFormula>
    </tableColumn>
    <tableColumn id="13" xr3:uid="{64E4A22B-DF40-44E4-9B52-1CA2155D6B8D}" name="5" dataDxfId="131" totalsRowDxfId="2" dataCellStyle="Normal 2">
      <calculatedColumnFormula>IF(D52&gt;350,4,0)</calculatedColumnFormula>
    </tableColumn>
    <tableColumn id="15" xr3:uid="{15F67072-09CF-48A5-9489-ED271AD7F8A3}" name="6" dataDxfId="131" totalsRowDxfId="2" dataCellStyle="Normal 2"/>
    <tableColumn id="7" xr3:uid="{D610E8C1-D47D-44FA-8593-8C1C46E4FC43}" name="اختيار" dataDxfId="106" totalsRowDxfId="2" dataCellStyle="Normal 2"/>
    <tableColumn id="8" xr3:uid="{96BFA68C-4B20-4323-988C-5F46D6C1E6D2}" name="التقطيع" dataDxfId="127" totalsRowDxfId="2" dataCellStyle="Normal 2"/>
    <tableColumn id="9" xr3:uid="{5C4B63B7-714C-476F-BDE3-A5940DE8B0EE}" name="بالهدر" dataDxfId="106" totalsRowDxfId="2" dataCellStyle="Normal 2">
      <calculatedColumnFormula>CEILING(L52,0.25)</calculatedColumnFormula>
    </tableColumn>
    <tableColumn id="10" xr3:uid="{967AAB2A-3CBC-489F-8789-9F5C00F5D83C}" name="Column1" dataDxfId="106" totalsRowDxfId="2" dataCellStyle="Normal 2"/>
    <tableColumn id="11" xr3:uid="{76CE1684-442E-40CE-9E88-94D80CB7830B}" name="وزن المتر" dataDxfId="102"/>
    <tableColumn id="12" xr3:uid="{35C4C533-AA04-467F-936F-7558F5DB8E15}" name="السعر" totalsRowFunction="sum" dataDxfId="119" totalsRowDxfId="118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0" dataDxfId="115" totalsRowDxfId="113" headerRowCellStyle="Normal 2">
  <autoFilter ref="B64:E95" xr:uid="{E5E8C9DF-A434-4B1E-9F2A-956212BAAA2E}"/>
  <tableColumns count="4">
    <tableColumn id="1" xr3:uid="{14D6CE5D-1213-43A1-BF29-FDC7124F2A0F}" name="الاكسسوار" totalsRowLabel="Total" dataDxfId="110" totalsRowDxfId="111" dataCellStyle="Normal 2"/>
    <tableColumn id="2" xr3:uid="{BA98A798-2CCA-4B7A-8B05-63B06D09333A}" name="عدد" dataDxfId="110" dataCellStyle="Normal 2"/>
    <tableColumn id="3" xr3:uid="{874A13E8-F264-4E16-B5DC-F94B11DF3BA1}" name="سعر" dataDxfId="106" totalsRowDxfId="2" dataCellStyle="Normal 2"/>
    <tableColumn id="4" xr3:uid="{DA8B93C8-59AD-4087-99B5-E52B920DEA79}" name="قيمة" totalsRowFunction="sum" dataDxfId="106" totalsRowDxfId="2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04" dataDxfId="91" totalsRowDxfId="102">
  <autoFilter ref="L12:Q23" xr:uid="{A630A4D1-964B-4D9C-80E9-DA639A17F16D}"/>
  <tableColumns count="6">
    <tableColumn id="1" xr3:uid="{D6CA05FE-79A8-47D8-8096-DAD04C28DE48}" name="Column1" totalsRowLabel="Total" dataDxfId="91" totalsRowDxfId="100"/>
    <tableColumn id="2" xr3:uid="{DF451939-4251-43AE-B6F6-9E343597384A}" name="عدد" totalsRowFunction="custom" dataDxfId="91" totalsRowDxfId="98">
      <totalsRowFormula>(Table80102113140[[#Totals],[price]]*1.1)/(O11*M11/10000)</totalsRowFormula>
    </tableColumn>
    <tableColumn id="3" xr3:uid="{C25478EA-3E99-4126-8989-54E48D1715D2}" name="طول" dataDxfId="91" totalsRowDxfId="90"/>
    <tableColumn id="4" xr3:uid="{9822A093-08F1-4B4D-9AFC-90D5A4131131}" name="Column2" dataDxfId="91" totalsRowDxfId="90"/>
    <tableColumn id="5" xr3:uid="{2E48C218-473A-4C6D-8C09-4D5CDD33479B}" name="wt/m" dataDxfId="91" totalsRowDxfId="90"/>
    <tableColumn id="6" xr3:uid="{36249871-283B-48D1-B606-C1BA8D8BCF2C}" name="price" totalsRowFunction="sum" dataDxfId="91" totalsRowDxfId="9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2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2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2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2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2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49" totalsRowDxfId="3"/>
    <tableColumn id="2" xr3:uid="{00000000-0010-0000-0700-000002000000}" name="عدد" dataDxfId="246" totalsRowDxfId="3"/>
    <tableColumn id="3" xr3:uid="{00000000-0010-0000-0700-000003000000}" name="بيان" totalsRowLabel="Total" dataDxfId="249" totalsRowDxfId="3"/>
    <tableColumn id="11" xr3:uid="{00000000-0010-0000-0700-00000B000000}" name="Column2" dataDxfId="249" totalsRowDxfId="3"/>
    <tableColumn id="10" xr3:uid="{00000000-0010-0000-0700-00000A000000}" name="Column1" dataDxfId="249" totalsRowDxfId="3"/>
    <tableColumn id="12" xr3:uid="{00000000-0010-0000-0700-00000C000000}" name="Column12" dataDxfId="251" totalsRowDxfId="2"/>
    <tableColumn id="4" xr3:uid="{00000000-0010-0000-0700-000004000000}" name="الوحده" dataDxfId="249" totalsRowDxfId="3"/>
    <tableColumn id="5" xr3:uid="{00000000-0010-0000-0700-000005000000}" name="الوزن" dataDxfId="249" totalsRowDxfId="3"/>
    <tableColumn id="6" xr3:uid="{00000000-0010-0000-0700-000006000000}" name="سعر الكيلو" dataDxfId="249" totalsRowDxfId="3"/>
    <tableColumn id="7" xr3:uid="{00000000-0010-0000-0700-000007000000}" name="سعر الشبك " dataDxfId="318" totalsRowDxfId="288">
      <calculatedColumnFormula>Sheet2!B22</calculatedColumnFormula>
    </tableColumn>
    <tableColumn id="8" xr3:uid="{00000000-0010-0000-0700-000008000000}" name="اجمالي" totalsRowFunction="sum" dataDxfId="242" totalsRowDxfId="286">
      <calculatedColumnFormula>B17*J17</calculatedColumnFormula>
    </tableColumn>
    <tableColumn id="9" xr3:uid="{00000000-0010-0000-0700-000009000000}" name="%" totalsRowFunction="custom" totalsRowDxfId="285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2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49" totalsRowDxfId="245"/>
    <tableColumn id="2" xr3:uid="{00000000-0010-0000-0800-000002000000}" name="عدد" totalsRowFunction="count" dataDxfId="249" totalsRowDxfId="245">
      <calculatedColumnFormula>B29*4</calculatedColumnFormula>
    </tableColumn>
    <tableColumn id="3" xr3:uid="{00000000-0010-0000-0800-000003000000}" name="بيان" totalsRowLabel="Total" dataDxfId="249" totalsRowDxfId="245"/>
    <tableColumn id="11" xr3:uid="{00000000-0010-0000-0800-00000B000000}" name="Column2" dataDxfId="249" totalsRowDxfId="245"/>
    <tableColumn id="10" xr3:uid="{00000000-0010-0000-0800-00000A000000}" name="Column1" dataDxfId="249" totalsRowDxfId="245"/>
    <tableColumn id="12" xr3:uid="{00000000-0010-0000-0800-00000C000000}" name="Column12" totalsRowFunction="sum" dataDxfId="251" totalsRowDxfId="250">
      <calculatedColumnFormula>(Table16[[#This Row],[Column1]]*Table16[[#This Row],[Column2]])*Table16[[#This Row],[عدد]]</calculatedColumnFormula>
    </tableColumn>
    <tableColumn id="4" xr3:uid="{00000000-0010-0000-0800-000004000000}" name="الوحده" dataDxfId="249" totalsRowDxfId="245"/>
    <tableColumn id="5" xr3:uid="{00000000-0010-0000-0800-000005000000}" name="الوزن" totalsRowFunction="custom" totalsRowDxfId="245">
      <totalsRowFormula>H30*B30+H31*B31</totalsRowFormula>
    </tableColumn>
    <tableColumn id="6" xr3:uid="{00000000-0010-0000-0800-000006000000}" name="Column3" dataDxfId="246" totalsRowDxfId="245"/>
    <tableColumn id="7" xr3:uid="{00000000-0010-0000-0800-000007000000}" name="سعر الشبك " dataDxfId="318" totalsRowDxfId="243">
      <calculatedColumnFormula>H30*$H$2/1000</calculatedColumnFormula>
    </tableColumn>
    <tableColumn id="8" xr3:uid="{00000000-0010-0000-0800-000008000000}" name="اجمالي" totalsRowFunction="sum" dataDxfId="242" totalsRowDxfId="241">
      <calculatedColumnFormula>B30*J30</calculatedColumnFormula>
    </tableColumn>
    <tableColumn id="9" xr3:uid="{00000000-0010-0000-0800-000009000000}" name="%" totalsRowFunction="custom" totalsRowDxfId="240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67"/>
    <tableColumn id="2" xr3:uid="{00000000-0010-0000-0900-000002000000}" name="المعدل" dataDxfId="267"/>
    <tableColumn id="3" xr3:uid="{00000000-0010-0000-0900-000003000000}" name="الوحدة" dataDxfId="267"/>
    <tableColumn id="4" xr3:uid="{00000000-0010-0000-0900-000004000000}" name="Column4" dataDxfId="311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49"/>
    <tableColumn id="2" xr3:uid="{00000000-0010-0000-0A00-000002000000}" name="عدد" dataDxfId="1473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64"/>
    <tableColumn id="11" xr3:uid="{00000000-0010-0000-0A00-00000B000000}" name="Column2" dataDxfId="264"/>
    <tableColumn id="10" xr3:uid="{00000000-0010-0000-0A00-00000A000000}" name="Column1" dataDxfId="278"/>
    <tableColumn id="12" xr3:uid="{00000000-0010-0000-0A00-00000C000000}" name="Column12" totalsRowFunction="sum" dataDxfId="1294"/>
    <tableColumn id="4" xr3:uid="{00000000-0010-0000-0A00-000004000000}" name="الوحده" dataDxfId="1293"/>
    <tableColumn id="5" xr3:uid="{00000000-0010-0000-0A00-000005000000}" name="الوزن" dataDxfId="1292"/>
    <tableColumn id="6" xr3:uid="{00000000-0010-0000-0A00-000006000000}" name="سعر الكيلو" dataDxfId="278"/>
    <tableColumn id="7" xr3:uid="{00000000-0010-0000-0A00-000007000000}" name="سعر الشبك " dataDxfId="275">
      <calculatedColumnFormula>Sheet2!B31</calculatedColumnFormula>
    </tableColumn>
    <tableColumn id="8" xr3:uid="{00000000-0010-0000-0A00-000008000000}" name="اجمالي" totalsRowFunction="sum" dataDxfId="242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49" totalsRowDxfId="3"/>
    <tableColumn id="2" xr3:uid="{00000000-0010-0000-0B00-000002000000}" name="عدد" dataDxfId="249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249" totalsRowDxfId="3"/>
    <tableColumn id="12" xr3:uid="{00000000-0010-0000-0B00-00000C000000}" name="Column12" totalsRowFunction="sum" dataDxfId="251" totalsRowDxfId="2"/>
    <tableColumn id="5" xr3:uid="{00000000-0010-0000-0B00-000005000000}" name="Column1" dataDxfId="249" totalsRowDxfId="3"/>
    <tableColumn id="11" xr3:uid="{00000000-0010-0000-0B00-00000B000000}" name="العرض" dataDxfId="264" totalsRowDxfId="3"/>
    <tableColumn id="10" xr3:uid="{00000000-0010-0000-0B00-00000A000000}" name="الامتداد" dataDxfId="246" totalsRowDxfId="3"/>
    <tableColumn id="4" xr3:uid="{00000000-0010-0000-0B00-000004000000}" name="سعر المتر" dataDxfId="278" totalsRowDxfId="3"/>
    <tableColumn id="6" xr3:uid="{00000000-0010-0000-0B00-000006000000}" name="Column2" dataDxfId="299" totalsRowDxfId="3"/>
    <tableColumn id="7" xr3:uid="{00000000-0010-0000-0B00-000007000000}" name="سعر البرجولا كاملة" dataDxfId="318" totalsRowDxfId="288">
      <calculatedColumnFormula>(K57)</calculatedColumnFormula>
    </tableColumn>
    <tableColumn id="8" xr3:uid="{00000000-0010-0000-0B00-000008000000}" name="اجمالي" totalsRowFunction="sum" dataDxfId="242" totalsRowDxfId="286">
      <calculatedColumnFormula>B58*Table1611[[#This Row],[سعر البرجولا كاملة]]</calculatedColumnFormula>
    </tableColumn>
    <tableColumn id="9" xr3:uid="{00000000-0010-0000-0B00-000009000000}" name="%" totalsRowFunction="custom" totalsRowDxfId="285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49" totalsRowDxfId="3"/>
    <tableColumn id="2" xr3:uid="{00000000-0010-0000-0C00-000002000000}" name="عدد" dataDxfId="262" totalsRowDxfId="3">
      <calculatedColumnFormula>B61</calculatedColumnFormula>
    </tableColumn>
    <tableColumn id="3" xr3:uid="{00000000-0010-0000-0C00-000003000000}" name="بيان" totalsRowLabel="Total" dataDxfId="301" totalsRowDxfId="3"/>
    <tableColumn id="5" xr3:uid="{00000000-0010-0000-0C00-000005000000}" name="اليومية / الاجرة" dataDxfId="301" totalsRowDxfId="3"/>
    <tableColumn id="6" xr3:uid="{00000000-0010-0000-0C00-000006000000}" name="بدل الوجبة" dataDxfId="299" totalsRowDxfId="3"/>
    <tableColumn id="11" xr3:uid="{00000000-0010-0000-0C00-00000B000000}" name="موقع العمل" dataDxfId="264" totalsRowDxfId="3">
      <calculatedColumnFormula>تسعير!$T$4</calculatedColumnFormula>
    </tableColumn>
    <tableColumn id="10" xr3:uid="{00000000-0010-0000-0C00-00000A000000}" name="شيفت العمل" dataDxfId="249" totalsRowDxfId="3"/>
    <tableColumn id="12" xr3:uid="{00000000-0010-0000-0C00-00000C000000}" name="Column12" totalsRowFunction="sum" dataDxfId="251" totalsRowDxfId="2">
      <calculatedColumnFormula>SUMIF(Table17[Column1],Table1612[[#This Row],[موقع العمل]],$T$2:$T$20)</calculatedColumnFormula>
    </tableColumn>
    <tableColumn id="4" xr3:uid="{00000000-0010-0000-0C00-000004000000}" name="عدد الايام" dataDxfId="291" totalsRowDxfId="3"/>
    <tableColumn id="7" xr3:uid="{00000000-0010-0000-0C00-000007000000}" name="اجمالي التكلفة للعامل" dataDxfId="289" totalsRowDxfId="288">
      <calculatedColumnFormula>Table1612[[#This Row],[Column12]]</calculatedColumnFormula>
    </tableColumn>
    <tableColumn id="8" xr3:uid="{00000000-0010-0000-0C00-000008000000}" name="اجمالي" totalsRowFunction="sum" dataDxfId="242" totalsRowDxfId="286">
      <calculatedColumnFormula>B67*J67</calculatedColumnFormula>
    </tableColumn>
    <tableColumn id="9" xr3:uid="{00000000-0010-0000-0C00-000009000000}" name="%" totalsRowFunction="custom" totalsRowDxfId="285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90"/>
    <tableColumn id="2" xr3:uid="{00000000-0010-0000-0D00-000002000000}" name="خارجي" dataDxfId="947"/>
    <tableColumn id="3" xr3:uid="{00000000-0010-0000-0D00-000003000000}" name="داخلي" dataDxfId="947"/>
    <tableColumn id="4" xr3:uid="{00000000-0010-0000-0D00-000004000000}" name="بدل الوجبة" dataDxfId="947"/>
    <tableColumn id="5" xr3:uid="{00000000-0010-0000-0D00-000005000000}" name="دبابة" dataDxfId="947"/>
    <tableColumn id="6" xr3:uid="{00000000-0010-0000-0D00-000006000000}" name="جامبو" dataDxfId="947"/>
    <tableColumn id="7" xr3:uid="{00000000-0010-0000-0D00-000007000000}" name="الاقامة" dataDxfId="94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64"/>
    <tableColumn id="4" xr3:uid="{00000000-0010-0000-0E00-000004000000}" name="Column22" dataDxfId="264"/>
    <tableColumn id="5" xr3:uid="{00000000-0010-0000-0E00-000005000000}" name="Column23" dataDxfId="264"/>
    <tableColumn id="3" xr3:uid="{00000000-0010-0000-0E00-000003000000}" name="Column3" dataDxfId="263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62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49" totalsRowDxfId="245"/>
    <tableColumn id="2" xr3:uid="{00000000-0010-0000-0F00-000002000000}" name="عدد" dataDxfId="249" totalsRowDxfId="24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49" totalsRowDxfId="245"/>
    <tableColumn id="11" xr3:uid="{00000000-0010-0000-0F00-00000B000000}" name="Column2" dataDxfId="249" totalsRowDxfId="245"/>
    <tableColumn id="10" xr3:uid="{00000000-0010-0000-0F00-00000A000000}" name="Column1" dataDxfId="249" totalsRowDxfId="245"/>
    <tableColumn id="12" xr3:uid="{00000000-0010-0000-0F00-00000C000000}" name="المسطح" totalsRowFunction="sum" dataDxfId="251" totalsRowDxfId="250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49" totalsRowDxfId="245"/>
    <tableColumn id="5" xr3:uid="{00000000-0010-0000-0F00-000005000000}" name="الوزن" totalsRowFunction="custom" dataDxfId="249" totalsRowDxfId="245">
      <totalsRowFormula>H9*B9+H8*B8+H7*B7</totalsRowFormula>
    </tableColumn>
    <tableColumn id="6" xr3:uid="{00000000-0010-0000-0F00-000006000000}" name="اجمالي الميزان" totalsRowFunction="sum" dataDxfId="246" totalsRowDxfId="245">
      <calculatedColumnFormula>Table118[[#This Row],[الوزن]]*Table118[[#This Row],[عدد]]</calculatedColumnFormula>
    </tableColumn>
    <tableColumn id="7" xr3:uid="{00000000-0010-0000-0F00-000007000000}" name="سعر الشبك " dataDxfId="318" totalsRowDxfId="243">
      <calculatedColumnFormula>H6*$H$2/1000</calculatedColumnFormula>
    </tableColumn>
    <tableColumn id="8" xr3:uid="{00000000-0010-0000-0F00-000008000000}" name="اجمالي" totalsRowFunction="sum" dataDxfId="242" totalsRowDxfId="241">
      <calculatedColumnFormula>B6*J6</calculatedColumnFormula>
    </tableColumn>
    <tableColumn id="9" xr3:uid="{00000000-0010-0000-0F00-000009000000}" name="%" totalsRowFunction="custom" totalsRowDxfId="240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49" totalsRowDxfId="245"/>
    <tableColumn id="2" xr3:uid="{00000000-0010-0000-1000-000002000000}" name="عدد" dataDxfId="246" totalsRowDxfId="24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49" totalsRowDxfId="245"/>
    <tableColumn id="11" xr3:uid="{00000000-0010-0000-1000-00000B000000}" name="Column2" dataDxfId="249" totalsRowDxfId="245"/>
    <tableColumn id="10" xr3:uid="{00000000-0010-0000-1000-00000A000000}" name="Column1" dataDxfId="249" totalsRowDxfId="245"/>
    <tableColumn id="12" xr3:uid="{00000000-0010-0000-1000-00000C000000}" name="Column12" dataDxfId="249" totalsRowDxfId="245"/>
    <tableColumn id="4" xr3:uid="{00000000-0010-0000-1000-000004000000}" name="الوحده" totalsRowLabel="total" dataDxfId="249" totalsRowDxfId="245"/>
    <tableColumn id="5" xr3:uid="{00000000-0010-0000-1000-000005000000}" name="الوزن" dataDxfId="246" totalsRowDxfId="24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49" totalsRowDxfId="245">
      <calculatedColumnFormula>Sheet2!B7</calculatedColumnFormula>
    </tableColumn>
    <tableColumn id="7" xr3:uid="{00000000-0010-0000-1000-000007000000}" name="سعر الشبك " dataDxfId="318" totalsRowDxfId="243"/>
    <tableColumn id="8" xr3:uid="{00000000-0010-0000-1000-000008000000}" name="اجمالي" totalsRowFunction="sum" dataDxfId="242" totalsRowDxfId="241">
      <calculatedColumnFormula>B36*Table1319[[#This Row],[سعر الكيلو]]</calculatedColumnFormula>
    </tableColumn>
    <tableColumn id="9" xr3:uid="{00000000-0010-0000-1000-000009000000}" name="%" totalsRowFunction="custom" totalsRowDxfId="240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49" totalsRowDxfId="245"/>
    <tableColumn id="2" xr3:uid="{00000000-0010-0000-1100-000002000000}" name="عدد" dataDxfId="249" totalsRowDxfId="24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49" totalsRowDxfId="245"/>
    <tableColumn id="11" xr3:uid="{00000000-0010-0000-1100-00000B000000}" name="Column2" dataDxfId="249" totalsRowDxfId="245"/>
    <tableColumn id="10" xr3:uid="{00000000-0010-0000-1100-00000A000000}" name="Column1" dataDxfId="249" totalsRowDxfId="245"/>
    <tableColumn id="12" xr3:uid="{00000000-0010-0000-1100-00000C000000}" name="Column12" totalsRowFunction="sum" dataDxfId="246" totalsRowDxfId="24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49" totalsRowDxfId="245"/>
    <tableColumn id="5" xr3:uid="{00000000-0010-0000-1100-000005000000}" name="الوزن" totalsRowFunction="custom" dataDxfId="249" totalsRowDxfId="245">
      <totalsRowFormula>H13*B13+H14*B14</totalsRowFormula>
    </tableColumn>
    <tableColumn id="6" xr3:uid="{00000000-0010-0000-1100-000006000000}" name="سعر الكيلو" totalsRowFunction="sum" dataDxfId="246" totalsRowDxfId="245">
      <calculatedColumnFormula>Table1421[[#This Row],[الوزن]]*Table1421[[#This Row],[عدد]]</calculatedColumnFormula>
    </tableColumn>
    <tableColumn id="7" xr3:uid="{00000000-0010-0000-1100-000007000000}" name="سعر الشبك " dataDxfId="318" totalsRowDxfId="1340">
      <calculatedColumnFormula>H13*$I$2/1000</calculatedColumnFormula>
    </tableColumn>
    <tableColumn id="8" xr3:uid="{00000000-0010-0000-1100-000008000000}" name="اجمالي" totalsRowFunction="sum" dataDxfId="242" totalsRowDxfId="241">
      <calculatedColumnFormula>B13*J13</calculatedColumnFormula>
    </tableColumn>
    <tableColumn id="9" xr3:uid="{00000000-0010-0000-1100-000009000000}" name="%" totalsRowFunction="custom" totalsRowDxfId="240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49" totalsRowDxfId="3"/>
    <tableColumn id="2" xr3:uid="{00000000-0010-0000-1200-000002000000}" name="عدد" dataDxfId="246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49" totalsRowDxfId="3"/>
    <tableColumn id="11" xr3:uid="{00000000-0010-0000-1200-00000B000000}" name="Column2" dataDxfId="249" totalsRowDxfId="3"/>
    <tableColumn id="10" xr3:uid="{00000000-0010-0000-1200-00000A000000}" name="Column1" dataDxfId="249" totalsRowDxfId="3"/>
    <tableColumn id="12" xr3:uid="{00000000-0010-0000-1200-00000C000000}" name="Column12" dataDxfId="251" totalsRowDxfId="2"/>
    <tableColumn id="4" xr3:uid="{00000000-0010-0000-1200-000004000000}" name="الوحده" dataDxfId="249" totalsRowDxfId="3"/>
    <tableColumn id="5" xr3:uid="{00000000-0010-0000-1200-000005000000}" name="الوزن" dataDxfId="249" totalsRowDxfId="3"/>
    <tableColumn id="6" xr3:uid="{00000000-0010-0000-1200-000006000000}" name="سعر الكيلو" dataDxfId="249" totalsRowDxfId="3"/>
    <tableColumn id="7" xr3:uid="{00000000-0010-0000-1200-000007000000}" name="سعر الشبك " dataDxfId="318" totalsRowDxfId="288">
      <calculatedColumnFormula>Sheet2!B22</calculatedColumnFormula>
    </tableColumn>
    <tableColumn id="8" xr3:uid="{00000000-0010-0000-1200-000008000000}" name="اجمالي" totalsRowFunction="sum" dataDxfId="242" totalsRowDxfId="286">
      <calculatedColumnFormula>B18*J18</calculatedColumnFormula>
    </tableColumn>
    <tableColumn id="9" xr3:uid="{00000000-0010-0000-1200-000009000000}" name="%" totalsRowFunction="custom" totalsRowDxfId="285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49"/>
    <tableColumn id="2" xr3:uid="{00000000-0010-0000-1300-000002000000}" name="عدد" totalsRowFunction="count" dataDxfId="246">
      <calculatedColumnFormula>B30*4</calculatedColumnFormula>
    </tableColumn>
    <tableColumn id="3" xr3:uid="{00000000-0010-0000-1300-000003000000}" name="بيان" totalsRowLabel="Total" dataDxfId="249"/>
    <tableColumn id="11" xr3:uid="{00000000-0010-0000-1300-00000B000000}" name="Column2" dataDxfId="249"/>
    <tableColumn id="10" xr3:uid="{00000000-0010-0000-1300-00000A000000}" name="Column1" dataDxfId="249"/>
    <tableColumn id="12" xr3:uid="{00000000-0010-0000-1300-00000C000000}" name="Column12" totalsRowFunction="sum" dataDxfId="2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49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46">
      <calculatedColumnFormula>$H$2/1000</calculatedColumnFormula>
    </tableColumn>
    <tableColumn id="7" xr3:uid="{00000000-0010-0000-1300-000007000000}" name="سعر الشبك " dataDxfId="318">
      <calculatedColumnFormula>H31*$H$2/1000</calculatedColumnFormula>
    </tableColumn>
    <tableColumn id="8" xr3:uid="{00000000-0010-0000-1300-000008000000}" name="اجمالي" totalsRowFunction="sum" dataDxfId="242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67"/>
    <tableColumn id="2" xr3:uid="{00000000-0010-0000-1400-000002000000}" name="المعدل" dataDxfId="267"/>
    <tableColumn id="3" xr3:uid="{00000000-0010-0000-1400-000003000000}" name="الوحدة" dataDxfId="267"/>
    <tableColumn id="4" xr3:uid="{00000000-0010-0000-1400-000004000000}" name="Column4" dataDxfId="31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49"/>
    <tableColumn id="2" xr3:uid="{00000000-0010-0000-1500-000002000000}" name="عدد" dataDxfId="129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64"/>
    <tableColumn id="11" xr3:uid="{00000000-0010-0000-1500-00000B000000}" name="Column2" dataDxfId="264"/>
    <tableColumn id="10" xr3:uid="{00000000-0010-0000-1500-00000A000000}" name="Column1" dataDxfId="278"/>
    <tableColumn id="12" xr3:uid="{00000000-0010-0000-1500-00000C000000}" name="Column12" totalsRowFunction="sum" dataDxfId="1294"/>
    <tableColumn id="4" xr3:uid="{00000000-0010-0000-1500-000004000000}" name="الوحده" dataDxfId="1293"/>
    <tableColumn id="5" xr3:uid="{00000000-0010-0000-1500-000005000000}" name="الوزن" dataDxfId="1292"/>
    <tableColumn id="6" xr3:uid="{00000000-0010-0000-1500-000006000000}" name="سعر الكيلو" dataDxfId="278"/>
    <tableColumn id="7" xr3:uid="{00000000-0010-0000-1500-000007000000}" name="سعر الشبك " dataDxfId="275">
      <calculatedColumnFormula>Sheet2!B31</calculatedColumnFormula>
    </tableColumn>
    <tableColumn id="8" xr3:uid="{00000000-0010-0000-1500-000008000000}" name="اجمالي" totalsRowFunction="sum" dataDxfId="242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49" totalsRowDxfId="3"/>
    <tableColumn id="2" xr3:uid="{00000000-0010-0000-1600-000002000000}" name="عدد" dataDxfId="249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249" totalsRowDxfId="3"/>
    <tableColumn id="12" xr3:uid="{00000000-0010-0000-1600-00000C000000}" name="Column12" totalsRowFunction="sum" dataDxfId="251" totalsRowDxfId="2"/>
    <tableColumn id="5" xr3:uid="{00000000-0010-0000-1600-000005000000}" name="Column1" dataDxfId="249" totalsRowDxfId="3"/>
    <tableColumn id="11" xr3:uid="{00000000-0010-0000-1600-00000B000000}" name="العرض" dataDxfId="264" totalsRowDxfId="3"/>
    <tableColumn id="10" xr3:uid="{00000000-0010-0000-1600-00000A000000}" name="الامتداد" dataDxfId="246" totalsRowDxfId="3"/>
    <tableColumn id="4" xr3:uid="{00000000-0010-0000-1600-000004000000}" name="سعر المتر" dataDxfId="278" totalsRowDxfId="3"/>
    <tableColumn id="6" xr3:uid="{00000000-0010-0000-1600-000006000000}" name="Column2" dataDxfId="299" totalsRowDxfId="3"/>
    <tableColumn id="7" xr3:uid="{00000000-0010-0000-1600-000007000000}" name="سعر البرجولا كاملة" dataDxfId="318" totalsRowDxfId="288">
      <calculatedColumnFormula>K58</calculatedColumnFormula>
    </tableColumn>
    <tableColumn id="8" xr3:uid="{00000000-0010-0000-1600-000008000000}" name="اجمالي" totalsRowFunction="sum" dataDxfId="242" totalsRowDxfId="28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85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49" totalsRowDxfId="3"/>
    <tableColumn id="2" xr3:uid="{00000000-0010-0000-1700-000002000000}" name="عدد" dataDxfId="262" totalsRowDxfId="3">
      <calculatedColumnFormula>B66</calculatedColumnFormula>
    </tableColumn>
    <tableColumn id="3" xr3:uid="{00000000-0010-0000-1700-000003000000}" name="بيان" totalsRowLabel="Total" dataDxfId="301" totalsRowDxfId="3"/>
    <tableColumn id="5" xr3:uid="{00000000-0010-0000-1700-000005000000}" name="اليومية / الاجرة" dataDxfId="301" totalsRowDxfId="3"/>
    <tableColumn id="6" xr3:uid="{00000000-0010-0000-1700-000006000000}" name="بدل الوجبة" dataDxfId="299" totalsRowDxfId="3"/>
    <tableColumn id="11" xr3:uid="{00000000-0010-0000-1700-00000B000000}" name="موقع العمل" dataDxfId="264" totalsRowDxfId="3">
      <calculatedColumnFormula>تسعير!$T$24</calculatedColumnFormula>
    </tableColumn>
    <tableColumn id="10" xr3:uid="{00000000-0010-0000-1700-00000A000000}" name="شيفت العمل" dataDxfId="249" totalsRowDxfId="3"/>
    <tableColumn id="12" xr3:uid="{00000000-0010-0000-1700-00000C000000}" name="Column12" totalsRowFunction="sum" dataDxfId="251" totalsRowDxfId="2">
      <calculatedColumnFormula>SUMIF(Table1731[Column1],Table161229[[#This Row],[موقع العمل]],$T$2:$T$26)</calculatedColumnFormula>
    </tableColumn>
    <tableColumn id="4" xr3:uid="{00000000-0010-0000-1700-000004000000}" name="عدد الايام" dataDxfId="291" totalsRowDxfId="3"/>
    <tableColumn id="7" xr3:uid="{00000000-0010-0000-1700-000007000000}" name="اجمالي التكلفة للعامل" dataDxfId="289" totalsRowDxfId="288">
      <calculatedColumnFormula>Table161229[[#This Row],[Column12]]</calculatedColumnFormula>
    </tableColumn>
    <tableColumn id="8" xr3:uid="{00000000-0010-0000-1700-000008000000}" name="اجمالي" totalsRowFunction="sum" dataDxfId="242" totalsRowDxfId="286">
      <calculatedColumnFormula>B69*J69</calculatedColumnFormula>
    </tableColumn>
    <tableColumn id="9" xr3:uid="{00000000-0010-0000-1700-000009000000}" name="%" totalsRowFunction="custom" totalsRowDxfId="285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64" totalsRowDxfId="3"/>
    <tableColumn id="2" xr3:uid="{00000000-0010-0000-1800-000002000000}" name="عدد" dataDxfId="262" totalsRowDxfId="3"/>
    <tableColumn id="3" xr3:uid="{00000000-0010-0000-1800-000003000000}" name="بيان" totalsRowLabel="Total" dataDxfId="264" totalsRowDxfId="3"/>
    <tableColumn id="11" xr3:uid="{00000000-0010-0000-1800-00000B000000}" name="Column2" dataDxfId="264" totalsRowDxfId="3"/>
    <tableColumn id="10" xr3:uid="{00000000-0010-0000-1800-00000A000000}" name="Column1" dataDxfId="264" totalsRowDxfId="3"/>
    <tableColumn id="12" xr3:uid="{00000000-0010-0000-1800-00000C000000}" name="Column12" totalsRowFunction="sum" dataDxfId="279" totalsRowDxfId="2"/>
    <tableColumn id="4" xr3:uid="{00000000-0010-0000-1800-000004000000}" name="الوحده" dataDxfId="278" totalsRowDxfId="3"/>
    <tableColumn id="5" xr3:uid="{00000000-0010-0000-1800-000005000000}" name="الوزن" dataDxfId="264" totalsRowDxfId="3"/>
    <tableColumn id="6" xr3:uid="{00000000-0010-0000-1800-000006000000}" name="سعر الكيلو" dataDxfId="264" totalsRowDxfId="3"/>
    <tableColumn id="7" xr3:uid="{00000000-0010-0000-1800-000007000000}" name="سعر الشبك " dataDxfId="275" totalsRowDxfId="288"/>
    <tableColumn id="8" xr3:uid="{00000000-0010-0000-1800-000008000000}" name="اجمالي" totalsRowFunction="sum" dataDxfId="242" totalsRowDxfId="286">
      <calculatedColumnFormula>B65*Table161330[[#This Row],[سعر الشبك ]]</calculatedColumnFormula>
    </tableColumn>
    <tableColumn id="9" xr3:uid="{00000000-0010-0000-1800-000009000000}" name="%" totalsRowFunction="custom" totalsRowDxfId="1220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67"/>
    <tableColumn id="2" xr3:uid="{00000000-0010-0000-1900-000002000000}" name="خارجي" dataDxfId="947"/>
    <tableColumn id="3" xr3:uid="{00000000-0010-0000-1900-000003000000}" name="داخلي" dataDxfId="947"/>
    <tableColumn id="4" xr3:uid="{00000000-0010-0000-1900-000004000000}" name="بدل الوجبة" dataDxfId="947"/>
    <tableColumn id="5" xr3:uid="{00000000-0010-0000-1900-000005000000}" name="دبابة" dataDxfId="947"/>
    <tableColumn id="6" xr3:uid="{00000000-0010-0000-1900-000006000000}" name="جامبو" dataDxfId="947"/>
    <tableColumn id="7" xr3:uid="{00000000-0010-0000-1900-000007000000}" name="الاقامة" dataDxfId="94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64"/>
    <tableColumn id="4" xr3:uid="{00000000-0010-0000-1A00-000004000000}" name="Column22" dataDxfId="264"/>
    <tableColumn id="5" xr3:uid="{00000000-0010-0000-1A00-000005000000}" name="Column23" dataDxfId="264"/>
    <tableColumn id="3" xr3:uid="{00000000-0010-0000-1A00-000003000000}" name="Column3" dataDxfId="263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62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90" totalsRowDxfId="1049"/>
    <tableColumn id="6" xr3:uid="{00000000-0010-0000-1B00-000006000000}" name="الطول بالمتر" dataDxfId="890" totalsRowDxfId="1049"/>
    <tableColumn id="5" xr3:uid="{00000000-0010-0000-1B00-000005000000}" name="وزن المتر " dataDxfId="890" totalsRowDxfId="1049"/>
    <tableColumn id="4" xr3:uid="{00000000-0010-0000-1B00-000004000000}" name="سعر الكيلو" dataDxfId="890" totalsRowDxfId="1049"/>
    <tableColumn id="3" xr3:uid="{00000000-0010-0000-1B00-000003000000}" name="اجمالي عدد " totalsRowFunction="custom" totalsRowDxfId="1049">
      <totalsRowFormula>Table8[[#Totals],[اجمالي التكلفة]]/B1</totalsRowFormula>
    </tableColumn>
    <tableColumn id="2" xr3:uid="{00000000-0010-0000-1B00-000002000000}" name="اجمالي التكلفة" totalsRowFunction="sum" dataDxfId="1058" totalsRowDxfId="1057">
      <calculatedColumnFormula>B3*D3</calculatedColumnFormula>
    </tableColumn>
    <tableColumn id="9" xr3:uid="{00000000-0010-0000-1B00-000009000000}" name="Column1" dataDxfId="890" totalsRowDxfId="1049"/>
    <tableColumn id="10" xr3:uid="{00000000-0010-0000-1B00-00000A000000}" name="Column2" dataDxfId="890" totalsRowDxfId="1049"/>
    <tableColumn id="11" xr3:uid="{00000000-0010-0000-1B00-00000B000000}" name="Column3" dataDxfId="890" totalsRowDxfId="1049"/>
    <tableColumn id="12" xr3:uid="{00000000-0010-0000-1B00-00000C000000}" name="Column4" dataDxfId="890" totalsRowDxfId="104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49" totalsRowDxfId="3"/>
    <tableColumn id="2" xr3:uid="{00000000-0010-0000-1C00-000002000000}" name="عدد" dataDxfId="246" totalsRowDxfId="3"/>
    <tableColumn id="3" xr3:uid="{00000000-0010-0000-1C00-000003000000}" name="بيان" totalsRowLabel="Total" dataDxfId="249" totalsRowDxfId="3"/>
    <tableColumn id="11" xr3:uid="{00000000-0010-0000-1C00-00000B000000}" name="Column2" dataDxfId="249" totalsRowDxfId="3"/>
    <tableColumn id="10" xr3:uid="{00000000-0010-0000-1C00-00000A000000}" name="Column1" dataDxfId="249" totalsRowDxfId="3"/>
    <tableColumn id="12" xr3:uid="{00000000-0010-0000-1C00-00000C000000}" name="Column12" dataDxfId="249" totalsRowDxfId="3"/>
    <tableColumn id="4" xr3:uid="{00000000-0010-0000-1C00-000004000000}" name="الوحده" totalsRowLabel="total" dataDxfId="249" totalsRowDxfId="3"/>
    <tableColumn id="5" xr3:uid="{00000000-0010-0000-1C00-000005000000}" name="الوزن" dataDxfId="249" totalsRowDxfId="3"/>
    <tableColumn id="6" xr3:uid="{00000000-0010-0000-1C00-000006000000}" name="سعر الكيلو" dataDxfId="249" totalsRowDxfId="3"/>
    <tableColumn id="7" xr3:uid="{00000000-0010-0000-1C00-000007000000}" name="سعر الشبك " dataDxfId="318" totalsRowDxfId="288">
      <calculatedColumnFormula>Sheet2!B2</calculatedColumnFormula>
    </tableColumn>
    <tableColumn id="8" xr3:uid="{00000000-0010-0000-1C00-000008000000}" name="اجمالي" totalsRowFunction="sum" dataDxfId="242" totalsRowDxfId="286">
      <calculatedColumnFormula>M26*U26</calculatedColumnFormula>
    </tableColumn>
    <tableColumn id="9" xr3:uid="{00000000-0010-0000-1C00-000009000000}" name="%" totalsRowFunction="custom" totalsRowDxfId="28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49" totalsRowDxfId="245"/>
    <tableColumn id="2" xr3:uid="{00000000-0010-0000-1D00-000002000000}" name="عدد" dataDxfId="246" totalsRowDxfId="245"/>
    <tableColumn id="3" xr3:uid="{00000000-0010-0000-1D00-000003000000}" name="بيان" totalsRowLabel="Total" dataDxfId="249" totalsRowDxfId="245"/>
    <tableColumn id="11" xr3:uid="{00000000-0010-0000-1D00-00000B000000}" name="Column2" dataDxfId="249" totalsRowDxfId="245"/>
    <tableColumn id="10" xr3:uid="{00000000-0010-0000-1D00-00000A000000}" name="Column1" dataDxfId="249" totalsRowDxfId="245"/>
    <tableColumn id="12" xr3:uid="{00000000-0010-0000-1D00-00000C000000}" name="Column12" dataDxfId="251" totalsRowDxfId="250"/>
    <tableColumn id="4" xr3:uid="{00000000-0010-0000-1D00-000004000000}" name="الوحده" dataDxfId="249" totalsRowDxfId="245"/>
    <tableColumn id="5" xr3:uid="{00000000-0010-0000-1D00-000005000000}" name="الوزن" dataDxfId="249" totalsRowDxfId="245"/>
    <tableColumn id="6" xr3:uid="{00000000-0010-0000-1D00-000006000000}" name="سعر الكيلو" dataDxfId="249" totalsRowDxfId="245"/>
    <tableColumn id="7" xr3:uid="{00000000-0010-0000-1D00-000007000000}" name="سعر الشبك " dataDxfId="318" totalsRowDxfId="243">
      <calculatedColumnFormula>Sheet2!B24</calculatedColumnFormula>
    </tableColumn>
    <tableColumn id="8" xr3:uid="{00000000-0010-0000-1D00-000008000000}" name="اجمالي" totalsRowFunction="sum" dataDxfId="242" totalsRowDxfId="241">
      <calculatedColumnFormula>M11*U11</calculatedColumnFormula>
    </tableColumn>
    <tableColumn id="9" xr3:uid="{00000000-0010-0000-1D00-000009000000}" name="%" totalsRowFunction="custom" totalsRowDxfId="240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49"/>
    <tableColumn id="2" xr3:uid="{00000000-0010-0000-1E00-000002000000}" name="عدد" totalsRowFunction="count" dataDxfId="249">
      <calculatedColumnFormula>M20*4</calculatedColumnFormula>
    </tableColumn>
    <tableColumn id="3" xr3:uid="{00000000-0010-0000-1E00-000003000000}" name="بيان" totalsRowLabel="Total" dataDxfId="249"/>
    <tableColumn id="11" xr3:uid="{00000000-0010-0000-1E00-00000B000000}" name="Column2" dataDxfId="249"/>
    <tableColumn id="10" xr3:uid="{00000000-0010-0000-1E00-00000A000000}" name="Column1" dataDxfId="249"/>
    <tableColumn id="12" xr3:uid="{00000000-0010-0000-1E00-00000C000000}" name="Column12" totalsRowFunction="sum" dataDxfId="2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49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46"/>
    <tableColumn id="7" xr3:uid="{00000000-0010-0000-1E00-000007000000}" name="سعر الشبك " dataDxfId="318">
      <calculatedColumnFormula>S21*$S$2/1000</calculatedColumnFormula>
    </tableColumn>
    <tableColumn id="8" xr3:uid="{00000000-0010-0000-1E00-000008000000}" name="اجمالي" totalsRowFunction="sum" dataDxfId="242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67"/>
    <tableColumn id="2" xr3:uid="{00000000-0010-0000-1F00-000002000000}" name="المعدل" dataDxfId="267"/>
    <tableColumn id="3" xr3:uid="{00000000-0010-0000-1F00-000003000000}" name="الوحدة" dataDxfId="267"/>
    <tableColumn id="4" xr3:uid="{00000000-0010-0000-1F00-000004000000}" name="Column4" dataDxfId="311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67"/>
    <tableColumn id="2" xr3:uid="{00000000-0010-0000-2000-000002000000}" name="Column2" dataDxfId="311"/>
    <tableColumn id="3" xr3:uid="{00000000-0010-0000-2000-000003000000}" name="Column3" dataDxfId="267"/>
    <tableColumn id="4" xr3:uid="{00000000-0010-0000-2000-000004000000}" name="Column4" dataDxfId="267"/>
    <tableColumn id="5" xr3:uid="{00000000-0010-0000-2000-000005000000}" name="Column5" dataDxfId="267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49" totalsRowDxfId="3"/>
    <tableColumn id="2" xr3:uid="{00000000-0010-0000-2100-000002000000}" name="عدد" dataDxfId="262" totalsRowDxfId="3">
      <calculatedColumnFormula>IF((تسعير!$AU$14="بالتات"),0,M52-2)</calculatedColumnFormula>
    </tableColumn>
    <tableColumn id="3" xr3:uid="{00000000-0010-0000-2100-000003000000}" name="بيان" totalsRowLabel="Total" dataDxfId="301" totalsRowDxfId="3"/>
    <tableColumn id="5" xr3:uid="{00000000-0010-0000-2100-000005000000}" name="اليومية / الاجرة" dataDxfId="301" totalsRowDxfId="3"/>
    <tableColumn id="6" xr3:uid="{00000000-0010-0000-2100-000006000000}" name="بدل الوجبة" dataDxfId="299" totalsRowDxfId="3"/>
    <tableColumn id="11" xr3:uid="{00000000-0010-0000-2100-00000B000000}" name="موقع العمل" dataDxfId="264" totalsRowDxfId="3">
      <calculatedColumnFormula>تسعير!$AT$4</calculatedColumnFormula>
    </tableColumn>
    <tableColumn id="10" xr3:uid="{00000000-0010-0000-2100-00000A000000}" name="شيفت العمل" dataDxfId="249" totalsRowDxfId="3"/>
    <tableColumn id="12" xr3:uid="{00000000-0010-0000-2100-00000C000000}" name="Column12" totalsRowFunction="sum" dataDxfId="251" totalsRowDxfId="2">
      <calculatedColumnFormula>SUMIF(Table1769[Column1],Table161267[[#This Row],[موقع العمل]],$AE$2:$AE$8)</calculatedColumnFormula>
    </tableColumn>
    <tableColumn id="4" xr3:uid="{00000000-0010-0000-2100-000004000000}" name="عدد الايام" dataDxfId="291" totalsRowDxfId="3"/>
    <tableColumn id="7" xr3:uid="{00000000-0010-0000-2100-000007000000}" name="اجمالي التكلفة للعامل" dataDxfId="289" totalsRowDxfId="288">
      <calculatedColumnFormula>Table161267[[#This Row],[Column12]]</calculatedColumnFormula>
    </tableColumn>
    <tableColumn id="8" xr3:uid="{00000000-0010-0000-2100-000008000000}" name="اجمالي" totalsRowFunction="sum" dataDxfId="242" totalsRowDxfId="286">
      <calculatedColumnFormula>M55*U55</calculatedColumnFormula>
    </tableColumn>
    <tableColumn id="9" xr3:uid="{00000000-0010-0000-2100-000009000000}" name="%" totalsRowFunction="custom" totalsRowDxfId="28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64"/>
    <tableColumn id="2" xr3:uid="{00000000-0010-0000-2200-000002000000}" name="عدد" dataDxfId="262">
      <calculatedColumnFormula>IF((Q65="الاسكندرية"),0.25,0.1)</calculatedColumnFormula>
    </tableColumn>
    <tableColumn id="3" xr3:uid="{00000000-0010-0000-2200-000003000000}" name="بيان" totalsRowLabel="Total" dataDxfId="264"/>
    <tableColumn id="11" xr3:uid="{00000000-0010-0000-2200-00000B000000}" name="Column2" dataDxfId="264"/>
    <tableColumn id="10" xr3:uid="{00000000-0010-0000-2200-00000A000000}" name="Column1" dataDxfId="264"/>
    <tableColumn id="12" xr3:uid="{00000000-0010-0000-2200-00000C000000}" name="Column12" totalsRowFunction="sum" dataDxfId="279"/>
    <tableColumn id="4" xr3:uid="{00000000-0010-0000-2200-000004000000}" name="الوحده" dataDxfId="278"/>
    <tableColumn id="5" xr3:uid="{00000000-0010-0000-2200-000005000000}" name="الوزن" dataDxfId="264"/>
    <tableColumn id="6" xr3:uid="{00000000-0010-0000-2200-000006000000}" name="سعر الكيلو" dataDxfId="264"/>
    <tableColumn id="7" xr3:uid="{00000000-0010-0000-2200-000007000000}" name="سعر الشبك " dataDxfId="275">
      <calculatedColumnFormula>V48</calculatedColumnFormula>
    </tableColumn>
    <tableColumn id="8" xr3:uid="{00000000-0010-0000-2200-000008000000}" name="اجمالي" totalsRowFunction="sum" dataDxfId="242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67"/>
    <tableColumn id="2" xr3:uid="{00000000-0010-0000-2300-000002000000}" name="خارجي" dataDxfId="267"/>
    <tableColumn id="3" xr3:uid="{00000000-0010-0000-2300-000003000000}" name="داخلي" dataDxfId="267"/>
    <tableColumn id="4" xr3:uid="{00000000-0010-0000-2300-000004000000}" name="بدل الوجبة" dataDxfId="267"/>
    <tableColumn id="5" xr3:uid="{00000000-0010-0000-2300-000005000000}" name="دبابة" dataDxfId="267"/>
    <tableColumn id="6" xr3:uid="{00000000-0010-0000-2300-000006000000}" name="جامبو" dataDxfId="267"/>
    <tableColumn id="7" xr3:uid="{00000000-0010-0000-2300-000007000000}" name="الاقامة" dataDxfId="267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64"/>
    <tableColumn id="4" xr3:uid="{00000000-0010-0000-2400-000004000000}" name="Column22" dataDxfId="264"/>
    <tableColumn id="5" xr3:uid="{00000000-0010-0000-2400-000005000000}" name="Column23" dataDxfId="264"/>
    <tableColumn id="3" xr3:uid="{00000000-0010-0000-24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6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49"/>
    <tableColumn id="2" xr3:uid="{00000000-0010-0000-2500-000002000000}" name="عدد" dataDxfId="249">
      <calculatedColumnFormula>IF((N2="A1"),2,IF((N2="A2"),3,IF((N2="B1"),2.5,IF((N2="B2"),3,0))))</calculatedColumnFormula>
    </tableColumn>
    <tableColumn id="3" xr3:uid="{00000000-0010-0000-2500-000003000000}" name="بيان" totalsRowLabel="Total" dataDxfId="249"/>
    <tableColumn id="11" xr3:uid="{00000000-0010-0000-2500-00000B000000}" name="Column2" dataDxfId="249"/>
    <tableColumn id="10" xr3:uid="{00000000-0010-0000-2500-00000A000000}" name="Column1" dataDxfId="249"/>
    <tableColumn id="12" xr3:uid="{00000000-0010-0000-2500-00000C000000}" name="المسطح" totalsRowFunction="sum" dataDxfId="2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49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46">
      <calculatedColumnFormula>Table158[[#This Row],[المسطح]]*Table158[[#This Row],[عدد]]</calculatedColumnFormula>
    </tableColumn>
    <tableColumn id="7" xr3:uid="{00000000-0010-0000-2500-000007000000}" name="سعر الشبك " dataDxfId="244">
      <calculatedColumnFormula>S6*$S$2/1000</calculatedColumnFormula>
    </tableColumn>
    <tableColumn id="8" xr3:uid="{00000000-0010-0000-2500-000008000000}" name="اجمالي" totalsRowFunction="sum" dataDxfId="242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90" totalsRowDxfId="1049"/>
    <tableColumn id="6" xr3:uid="{00000000-0010-0000-2600-000006000000}" name="الطول بالمتر" dataDxfId="890" totalsRowDxfId="1049"/>
    <tableColumn id="5" xr3:uid="{00000000-0010-0000-2600-000005000000}" name="وزن المتر " dataDxfId="890" totalsRowDxfId="1049"/>
    <tableColumn id="4" xr3:uid="{00000000-0010-0000-2600-000004000000}" name="سعر الكيلو" dataDxfId="890" totalsRowDxfId="1049"/>
    <tableColumn id="3" xr3:uid="{00000000-0010-0000-2600-000003000000}" name="اجمالي عدد " totalsRowFunction="custom" totalsRowDxfId="1049">
      <totalsRowFormula>Table823[[#Totals],[اجمالي التكلفة]]/B1</totalsRowFormula>
    </tableColumn>
    <tableColumn id="2" xr3:uid="{00000000-0010-0000-2600-000002000000}" name="اجمالي التكلفة" totalsRowFunction="sum" dataDxfId="1058" totalsRowDxfId="1057"/>
    <tableColumn id="9" xr3:uid="{00000000-0010-0000-2600-000009000000}" name="Column1" dataDxfId="890" totalsRowDxfId="1049"/>
    <tableColumn id="10" xr3:uid="{00000000-0010-0000-2600-00000A000000}" name="Column2" dataDxfId="890" totalsRowDxfId="1049"/>
    <tableColumn id="11" xr3:uid="{00000000-0010-0000-2600-00000B000000}" name="Column3" dataDxfId="890" totalsRowDxfId="1049"/>
    <tableColumn id="12" xr3:uid="{00000000-0010-0000-2600-00000C000000}" name="Column4" dataDxfId="890" totalsRowDxfId="1049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49" totalsRowDxfId="3"/>
    <tableColumn id="2" xr3:uid="{00000000-0010-0000-2700-000002000000}" name="عدد" dataDxfId="246" totalsRowDxfId="3"/>
    <tableColumn id="3" xr3:uid="{00000000-0010-0000-2700-000003000000}" name="بيان" totalsRowLabel="Total" dataDxfId="249" totalsRowDxfId="3"/>
    <tableColumn id="11" xr3:uid="{00000000-0010-0000-2700-00000B000000}" name="Column2" dataDxfId="249" totalsRowDxfId="3"/>
    <tableColumn id="10" xr3:uid="{00000000-0010-0000-2700-00000A000000}" name="Column1" dataDxfId="249" totalsRowDxfId="3"/>
    <tableColumn id="12" xr3:uid="{00000000-0010-0000-2700-00000C000000}" name="Column12" dataDxfId="249" totalsRowDxfId="3"/>
    <tableColumn id="4" xr3:uid="{00000000-0010-0000-2700-000004000000}" name="الوحده" totalsRowLabel="total" dataDxfId="249" totalsRowDxfId="3"/>
    <tableColumn id="5" xr3:uid="{00000000-0010-0000-2700-000005000000}" name="الوزن" dataDxfId="249" totalsRowDxfId="3"/>
    <tableColumn id="6" xr3:uid="{00000000-0010-0000-2700-000006000000}" name="سعر الكيلو" dataDxfId="249" totalsRowDxfId="3"/>
    <tableColumn id="7" xr3:uid="{00000000-0010-0000-2700-000007000000}" name="سعر الشبك " dataDxfId="318" totalsRowDxfId="288">
      <calculatedColumnFormula>Sheet2!B2</calculatedColumnFormula>
    </tableColumn>
    <tableColumn id="8" xr3:uid="{00000000-0010-0000-2700-000008000000}" name="اجمالي" totalsRowFunction="sum" dataDxfId="242" totalsRowDxfId="286">
      <calculatedColumnFormula>M26*U26</calculatedColumnFormula>
    </tableColumn>
    <tableColumn id="9" xr3:uid="{00000000-0010-0000-2700-000009000000}" name="%" totalsRowFunction="custom" totalsRowDxfId="28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49" totalsRowDxfId="245"/>
    <tableColumn id="2" xr3:uid="{00000000-0010-0000-2800-000002000000}" name="عدد" dataDxfId="246" totalsRowDxfId="245"/>
    <tableColumn id="3" xr3:uid="{00000000-0010-0000-2800-000003000000}" name="بيان" totalsRowLabel="Total" dataDxfId="249" totalsRowDxfId="245"/>
    <tableColumn id="11" xr3:uid="{00000000-0010-0000-2800-00000B000000}" name="Column2" dataDxfId="249" totalsRowDxfId="245"/>
    <tableColumn id="10" xr3:uid="{00000000-0010-0000-2800-00000A000000}" name="Column1" dataDxfId="249" totalsRowDxfId="245"/>
    <tableColumn id="12" xr3:uid="{00000000-0010-0000-2800-00000C000000}" name="Column12" dataDxfId="251" totalsRowDxfId="250"/>
    <tableColumn id="4" xr3:uid="{00000000-0010-0000-2800-000004000000}" name="الوحده" dataDxfId="249" totalsRowDxfId="245"/>
    <tableColumn id="5" xr3:uid="{00000000-0010-0000-2800-000005000000}" name="الوزن" dataDxfId="249" totalsRowDxfId="245"/>
    <tableColumn id="6" xr3:uid="{00000000-0010-0000-2800-000006000000}" name="سعر الكيلو" dataDxfId="249" totalsRowDxfId="245"/>
    <tableColumn id="7" xr3:uid="{00000000-0010-0000-2800-000007000000}" name="سعر الشبك " dataDxfId="318" totalsRowDxfId="243">
      <calculatedColumnFormula>Sheet2!B24</calculatedColumnFormula>
    </tableColumn>
    <tableColumn id="8" xr3:uid="{00000000-0010-0000-2800-000008000000}" name="اجمالي" totalsRowFunction="sum" dataDxfId="242" totalsRowDxfId="241">
      <calculatedColumnFormula>M11*U11</calculatedColumnFormula>
    </tableColumn>
    <tableColumn id="9" xr3:uid="{00000000-0010-0000-2800-000009000000}" name="%" totalsRowFunction="custom" totalsRowDxfId="240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49"/>
    <tableColumn id="2" xr3:uid="{00000000-0010-0000-2900-000002000000}" name="عدد" totalsRowFunction="count" dataDxfId="249">
      <calculatedColumnFormula>M20*4</calculatedColumnFormula>
    </tableColumn>
    <tableColumn id="3" xr3:uid="{00000000-0010-0000-2900-000003000000}" name="بيان" totalsRowLabel="Total" dataDxfId="249"/>
    <tableColumn id="11" xr3:uid="{00000000-0010-0000-2900-00000B000000}" name="Column2" dataDxfId="249"/>
    <tableColumn id="10" xr3:uid="{00000000-0010-0000-2900-00000A000000}" name="Column1" dataDxfId="249"/>
    <tableColumn id="12" xr3:uid="{00000000-0010-0000-2900-00000C000000}" name="Column12" totalsRowFunction="sum" dataDxfId="2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49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46"/>
    <tableColumn id="7" xr3:uid="{00000000-0010-0000-2900-000007000000}" name="سعر الشبك " dataDxfId="318">
      <calculatedColumnFormula>S21*$S$2/1000</calculatedColumnFormula>
    </tableColumn>
    <tableColumn id="8" xr3:uid="{00000000-0010-0000-2900-000008000000}" name="اجمالي" totalsRowFunction="sum" dataDxfId="242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67"/>
    <tableColumn id="2" xr3:uid="{00000000-0010-0000-2A00-000002000000}" name="المعدل" dataDxfId="267"/>
    <tableColumn id="3" xr3:uid="{00000000-0010-0000-2A00-000003000000}" name="الوحدة" dataDxfId="267"/>
    <tableColumn id="4" xr3:uid="{00000000-0010-0000-2A00-000004000000}" name="Column4" dataDxfId="311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49" totalsRowDxfId="3"/>
    <tableColumn id="2" xr3:uid="{00000000-0010-0000-2B00-000002000000}" name="عدد" dataDxfId="262" totalsRowDxfId="3">
      <calculatedColumnFormula>IF((تسعير!$BF$14="بالتات"),0,M52-2)</calculatedColumnFormula>
    </tableColumn>
    <tableColumn id="3" xr3:uid="{00000000-0010-0000-2B00-000003000000}" name="بيان" totalsRowLabel="Total" dataDxfId="301" totalsRowDxfId="3"/>
    <tableColumn id="5" xr3:uid="{00000000-0010-0000-2B00-000005000000}" name="اليومية / الاجرة" dataDxfId="301" totalsRowDxfId="3"/>
    <tableColumn id="6" xr3:uid="{00000000-0010-0000-2B00-000006000000}" name="بدل الوجبة" dataDxfId="299" totalsRowDxfId="3"/>
    <tableColumn id="11" xr3:uid="{00000000-0010-0000-2B00-00000B000000}" name="موقع العمل" dataDxfId="264" totalsRowDxfId="3">
      <calculatedColumnFormula>تسعير!$BE$4</calculatedColumnFormula>
    </tableColumn>
    <tableColumn id="10" xr3:uid="{00000000-0010-0000-2B00-00000A000000}" name="شيفت العمل" dataDxfId="249" totalsRowDxfId="3"/>
    <tableColumn id="12" xr3:uid="{00000000-0010-0000-2B00-00000C000000}" name="Column12" totalsRowFunction="sum" dataDxfId="251" totalsRowDxfId="2"/>
    <tableColumn id="4" xr3:uid="{00000000-0010-0000-2B00-000004000000}" name="عدد الايام" dataDxfId="291" totalsRowDxfId="3"/>
    <tableColumn id="7" xr3:uid="{00000000-0010-0000-2B00-000007000000}" name="اجمالي التكلفة للعامل" dataDxfId="289" totalsRowDxfId="288">
      <calculatedColumnFormula>Table16126744[[#This Row],[Column12]]</calculatedColumnFormula>
    </tableColumn>
    <tableColumn id="8" xr3:uid="{00000000-0010-0000-2B00-000008000000}" name="اجمالي" totalsRowFunction="sum" dataDxfId="242" totalsRowDxfId="286">
      <calculatedColumnFormula>M55*U55</calculatedColumnFormula>
    </tableColumn>
    <tableColumn id="9" xr3:uid="{00000000-0010-0000-2B00-000009000000}" name="%" totalsRowFunction="custom" totalsRowDxfId="28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64"/>
    <tableColumn id="2" xr3:uid="{00000000-0010-0000-2C00-000002000000}" name="عدد" dataDxfId="262">
      <calculatedColumnFormula>IF((Q65="الاسكندرية"),0.25,0.1)</calculatedColumnFormula>
    </tableColumn>
    <tableColumn id="3" xr3:uid="{00000000-0010-0000-2C00-000003000000}" name="بيان" totalsRowLabel="Total" dataDxfId="264"/>
    <tableColumn id="11" xr3:uid="{00000000-0010-0000-2C00-00000B000000}" name="Column2" dataDxfId="264"/>
    <tableColumn id="10" xr3:uid="{00000000-0010-0000-2C00-00000A000000}" name="Column1" dataDxfId="264"/>
    <tableColumn id="12" xr3:uid="{00000000-0010-0000-2C00-00000C000000}" name="Column12" totalsRowFunction="sum" dataDxfId="279"/>
    <tableColumn id="4" xr3:uid="{00000000-0010-0000-2C00-000004000000}" name="الوحده" dataDxfId="278"/>
    <tableColumn id="5" xr3:uid="{00000000-0010-0000-2C00-000005000000}" name="الوزن" dataDxfId="264"/>
    <tableColumn id="6" xr3:uid="{00000000-0010-0000-2C00-000006000000}" name="سعر الكيلو" dataDxfId="264"/>
    <tableColumn id="7" xr3:uid="{00000000-0010-0000-2C00-000007000000}" name="سعر الشبك " dataDxfId="275">
      <calculatedColumnFormula>V48</calculatedColumnFormula>
    </tableColumn>
    <tableColumn id="8" xr3:uid="{00000000-0010-0000-2C00-000008000000}" name="اجمالي" totalsRowFunction="sum" dataDxfId="242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47">
  <autoFilter ref="Y1:AE20" xr:uid="{00000000-0009-0000-0100-00002D000000}"/>
  <tableColumns count="7">
    <tableColumn id="1" xr3:uid="{00000000-0010-0000-2D00-000001000000}" name="Column1" dataDxfId="947"/>
    <tableColumn id="2" xr3:uid="{00000000-0010-0000-2D00-000002000000}" name="خارجي" dataDxfId="947"/>
    <tableColumn id="3" xr3:uid="{00000000-0010-0000-2D00-000003000000}" name="داخلي" dataDxfId="947"/>
    <tableColumn id="4" xr3:uid="{00000000-0010-0000-2D00-000004000000}" name="بدل الوجبة" dataDxfId="947"/>
    <tableColumn id="5" xr3:uid="{00000000-0010-0000-2D00-000005000000}" name="دبابة" dataDxfId="947"/>
    <tableColumn id="6" xr3:uid="{00000000-0010-0000-2D00-000006000000}" name="جامبو" dataDxfId="947"/>
    <tableColumn id="7" xr3:uid="{00000000-0010-0000-2D00-000007000000}" name="الاقامة" dataDxfId="94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64"/>
    <tableColumn id="4" xr3:uid="{00000000-0010-0000-2E00-000004000000}" name="Column22" dataDxfId="264"/>
    <tableColumn id="5" xr3:uid="{00000000-0010-0000-2E00-000005000000}" name="Column23" dataDxfId="264"/>
    <tableColumn id="3" xr3:uid="{00000000-0010-0000-2E00-000003000000}" name="Column3" dataDxfId="26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62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49"/>
    <tableColumn id="2" xr3:uid="{00000000-0010-0000-2F00-000002000000}" name="عدد" dataDxfId="249">
      <calculatedColumnFormula>IF((N2="c1"),3,IF((N2="c2"),4,IF((N2="d1"),4,IF((N2="d2"),5,0))))</calculatedColumnFormula>
    </tableColumn>
    <tableColumn id="3" xr3:uid="{00000000-0010-0000-2F00-000003000000}" name="بيان" totalsRowLabel="Total" dataDxfId="249"/>
    <tableColumn id="11" xr3:uid="{00000000-0010-0000-2F00-00000B000000}" name="Column2" dataDxfId="249"/>
    <tableColumn id="10" xr3:uid="{00000000-0010-0000-2F00-00000A000000}" name="Column1" dataDxfId="249"/>
    <tableColumn id="12" xr3:uid="{00000000-0010-0000-2F00-00000C000000}" name="المسطح" totalsRowFunction="sum" dataDxfId="2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49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46"/>
    <tableColumn id="7" xr3:uid="{00000000-0010-0000-2F00-000007000000}" name="سعر الشبك " dataDxfId="244">
      <calculatedColumnFormula>S6*$S$2/1000</calculatedColumnFormula>
    </tableColumn>
    <tableColumn id="8" xr3:uid="{00000000-0010-0000-2F00-000008000000}" name="اجمالي" totalsRowFunction="sum" dataDxfId="242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31"/>
    <tableColumn id="2" xr3:uid="{00000000-0010-0000-3000-000002000000}" name="المقاس" dataDxfId="890"/>
    <tableColumn id="4" xr3:uid="{00000000-0010-0000-3000-000004000000}" name="ميزان" dataDxfId="90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05"/>
    <tableColumn id="2" xr3:uid="{00000000-0010-0000-3100-000002000000}" name="Column2" dataDxfId="89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90" totalsRowDxfId="925"/>
    <tableColumn id="2" xr3:uid="{00000000-0010-0000-3200-000002000000}" name="عدد/الشمسية" dataDxfId="901" totalsRowDxfId="921"/>
    <tableColumn id="3" xr3:uid="{00000000-0010-0000-3200-000003000000}" name="سعر الوحدة" dataDxfId="890" totalsRowDxfId="921"/>
    <tableColumn id="4" xr3:uid="{00000000-0010-0000-3200-000004000000}" name="قيمة" totalsRowFunction="sum" dataDxfId="890" totalsRowDxfId="919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90"/>
    <tableColumn id="2" xr3:uid="{00000000-0010-0000-3300-000002000000}" name="امتار عادية" dataDxfId="890"/>
    <tableColumn id="4" xr3:uid="{00000000-0010-0000-3300-000004000000}" name="امتار single" dataDxfId="890"/>
    <tableColumn id="6" xr3:uid="{00000000-0010-0000-3300-000006000000}" name="امتار douple" dataDxfId="89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90"/>
    <tableColumn id="2" xr3:uid="{00000000-0010-0000-3400-000002000000}" name="Column2" dataDxfId="89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8" totalsRowDxfId="10"/>
    <tableColumn id="2" xr3:uid="{BFD71D91-82BE-4E36-ABA2-D621CC74A72F}" name="الصنف" dataDxfId="1588" totalsRowDxfId="8"/>
    <tableColumn id="3" xr3:uid="{FA2200A0-4790-4626-B4EF-26AF375E7D08}" name="الوحده" dataDxfId="1588" totalsRowDxfId="8"/>
    <tableColumn id="13" xr3:uid="{1B9DE2C2-E66F-49FF-BF0C-4005C087BC2A}" name="متطلبات انتاج الشمسيه 2.5" dataDxfId="1589" totalsRowDxfId="6"/>
    <tableColumn id="4" xr3:uid="{A25EDD6F-7BF8-4633-A44E-9AA34FABA3E5}" name="متطلبات انتاج الشمسيه 3" dataDxfId="1588" totalsRowDxfId="6"/>
    <tableColumn id="9" xr3:uid="{F8C4B6ED-C6D0-4793-8425-4DB2E6AEB8C7}" name="حهة التصنيع" dataDxfId="1587" totalsRowDxfId="5"/>
    <tableColumn id="10" xr3:uid="{07E26081-B66A-4CF4-A6F3-959C28FB1681}" name="سعر" dataDxfId="1586" totalsRowDxfId="4"/>
    <tableColumn id="11" xr3:uid="{533F2344-E7A1-4D72-BD1C-8B42EA41C0CA}" name="3" totalsRowFunction="sum" dataDxfId="1585" totalsRowDxfId="3">
      <calculatedColumnFormula>U4*S4</calculatedColumnFormula>
    </tableColumn>
    <tableColumn id="12" xr3:uid="{D07D845E-2930-453E-8278-6592A65F5FE9}" name="2.5" totalsRowFunction="sum" dataDxfId="1584" totalsRowDxfId="2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908"/>
    <tableColumn id="2" xr3:uid="{00000000-0010-0000-3600-000002000000}" name="الناتج" dataDxfId="909"/>
    <tableColumn id="3" xr3:uid="{00000000-0010-0000-3600-000003000000}" name="Column1" dataDxfId="908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907"/>
    <tableColumn id="4" xr3:uid="{00000000-0010-0000-3700-000004000000}" name="ميزان" dataDxfId="906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905"/>
    <tableColumn id="2" xr3:uid="{00000000-0010-0000-3800-000002000000}" name="Column2" dataDxfId="89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90" totalsRowDxfId="250"/>
    <tableColumn id="2" xr3:uid="{00000000-0010-0000-3900-000002000000}" name="عدد/الشمسية" dataDxfId="901" totalsRowDxfId="250"/>
    <tableColumn id="3" xr3:uid="{00000000-0010-0000-3900-000003000000}" name="سعر الوحدة" dataDxfId="890" totalsRowDxfId="250"/>
    <tableColumn id="4" xr3:uid="{00000000-0010-0000-3900-000004000000}" name="قيمة" totalsRowFunction="sum" dataDxfId="890" totalsRowDxfId="250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90"/>
    <tableColumn id="2" xr3:uid="{00000000-0010-0000-3A00-000002000000}" name="امتار عادية" dataDxfId="890"/>
    <tableColumn id="4" xr3:uid="{00000000-0010-0000-3A00-000004000000}" name="امتار single" dataDxfId="890"/>
    <tableColumn id="6" xr3:uid="{00000000-0010-0000-3A00-000006000000}" name="امتار douple" dataDxfId="89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90"/>
    <tableColumn id="2" xr3:uid="{00000000-0010-0000-3B00-000002000000}" name="Column2" dataDxfId="89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85"/>
    <tableColumn id="2" xr3:uid="{00000000-0010-0000-3C00-000002000000}" name="Column2" dataDxfId="885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85"/>
    <tableColumn id="2" xr3:uid="{00000000-0010-0000-3D00-000002000000}" name="الناتج" dataDxfId="886"/>
    <tableColumn id="3" xr3:uid="{00000000-0010-0000-3D00-000003000000}" name="Column1" dataDxfId="885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45" totalsRowDxfId="844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62" totalsRowDxfId="3">
      <calculatedColumnFormula>I28</calculatedColumnFormula>
    </tableColumn>
    <tableColumn id="3" xr3:uid="{00000000-0010-0000-3F00-000003000000}" name="بيان" totalsRowLabel="Total" dataDxfId="830" totalsRowDxfId="3"/>
    <tableColumn id="5" xr3:uid="{00000000-0010-0000-3F00-000005000000}" name="اليومية / الاجرة" dataDxfId="301" totalsRowDxfId="3"/>
    <tableColumn id="6" xr3:uid="{00000000-0010-0000-3F00-000006000000}" name="بدل الوجبة" dataDxfId="299" totalsRowDxfId="3"/>
    <tableColumn id="11" xr3:uid="{00000000-0010-0000-3F00-00000B000000}" name="موقع العمل" dataDxfId="264" totalsRowDxfId="3">
      <calculatedColumnFormula>تسعير!$T$45</calculatedColumnFormula>
    </tableColumn>
    <tableColumn id="10" xr3:uid="{00000000-0010-0000-3F00-00000A000000}" name="شيفت العمل" dataDxfId="249" totalsRowDxfId="3"/>
    <tableColumn id="12" xr3:uid="{00000000-0010-0000-3F00-00000C000000}" name="Column12" totalsRowFunction="sum" dataDxfId="251" totalsRowDxfId="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91" totalsRowDxfId="3"/>
    <tableColumn id="7" xr3:uid="{00000000-0010-0000-3F00-000007000000}" name="اجمالي التكلفة للعامل" dataDxfId="289" totalsRowDxfId="288">
      <calculatedColumnFormula>Table161243[[#This Row],[Column12]]</calculatedColumnFormula>
    </tableColumn>
    <tableColumn id="8" xr3:uid="{00000000-0010-0000-3F00-000008000000}" name="اجمالي" totalsRowFunction="sum" dataDxfId="242" totalsRowDxfId="286">
      <calculatedColumnFormula>I31*Q31</calculatedColumnFormula>
    </tableColumn>
    <tableColumn id="9" xr3:uid="{00000000-0010-0000-3F00-000009000000}" name="%" totalsRowFunction="custom" totalsRowDxfId="28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83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64"/>
    <tableColumn id="4" xr3:uid="{00000000-0010-0000-4000-000004000000}" name="Column22" dataDxfId="264"/>
    <tableColumn id="5" xr3:uid="{00000000-0010-0000-4000-000005000000}" name="Column23" dataDxfId="264"/>
    <tableColumn id="3" xr3:uid="{00000000-0010-0000-4000-000003000000}" name="Column3" dataDxfId="263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62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45" totalsRowDxfId="84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62" totalsRowDxfId="3">
      <calculatedColumnFormula>I61</calculatedColumnFormula>
    </tableColumn>
    <tableColumn id="3" xr3:uid="{00000000-0010-0000-4200-000003000000}" name="بيان" totalsRowLabel="Total" dataDxfId="830" totalsRowDxfId="3"/>
    <tableColumn id="5" xr3:uid="{00000000-0010-0000-4200-000005000000}" name="اليومية / الاجرة" dataDxfId="301" totalsRowDxfId="3"/>
    <tableColumn id="6" xr3:uid="{00000000-0010-0000-4200-000006000000}" name="بدل الوجبة" dataDxfId="299" totalsRowDxfId="3"/>
    <tableColumn id="11" xr3:uid="{00000000-0010-0000-4200-00000B000000}" name="موقع العمل" dataDxfId="264" totalsRowDxfId="3">
      <calculatedColumnFormula>تسعير!$T$63</calculatedColumnFormula>
    </tableColumn>
    <tableColumn id="10" xr3:uid="{00000000-0010-0000-4200-00000A000000}" name="شيفت العمل" dataDxfId="249" totalsRowDxfId="3"/>
    <tableColumn id="12" xr3:uid="{00000000-0010-0000-4200-00000C000000}" name="Column12" totalsRowFunction="sum" dataDxfId="251" totalsRowDxfId="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91" totalsRowDxfId="3"/>
    <tableColumn id="7" xr3:uid="{00000000-0010-0000-4200-000007000000}" name="اجمالي التكلفة للعامل" dataDxfId="289" totalsRowDxfId="288">
      <calculatedColumnFormula>Table16124360[[#This Row],[Column12]]</calculatedColumnFormula>
    </tableColumn>
    <tableColumn id="8" xr3:uid="{00000000-0010-0000-4200-000008000000}" name="اجمالي" totalsRowFunction="sum" dataDxfId="242" totalsRowDxfId="286">
      <calculatedColumnFormula>I64*Q64</calculatedColumnFormula>
    </tableColumn>
    <tableColumn id="9" xr3:uid="{00000000-0010-0000-4200-000009000000}" name="%" totalsRowFunction="custom" totalsRowDxfId="28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64"/>
    <tableColumn id="4" xr3:uid="{00000000-0010-0000-4300-000004000000}" name="Column22" dataDxfId="264"/>
    <tableColumn id="5" xr3:uid="{00000000-0010-0000-4300-000005000000}" name="Column23" dataDxfId="264"/>
    <tableColumn id="3" xr3:uid="{00000000-0010-0000-4300-000003000000}" name="Column3" dataDxfId="263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62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49" totalsRowDxfId="3"/>
    <tableColumn id="2" xr3:uid="{00000000-0010-0000-4400-000002000000}" name="عدد" dataDxfId="246" totalsRowDxfId="3"/>
    <tableColumn id="3" xr3:uid="{00000000-0010-0000-4400-000003000000}" name="بيان" totalsRowLabel="Total" dataDxfId="249" totalsRowDxfId="3"/>
    <tableColumn id="11" xr3:uid="{00000000-0010-0000-4400-00000B000000}" name="Column2" dataDxfId="249" totalsRowDxfId="3"/>
    <tableColumn id="10" xr3:uid="{00000000-0010-0000-4400-00000A000000}" name="Column1" dataDxfId="249" totalsRowDxfId="3"/>
    <tableColumn id="12" xr3:uid="{00000000-0010-0000-4400-00000C000000}" name="Column12" dataDxfId="249" totalsRowDxfId="3"/>
    <tableColumn id="4" xr3:uid="{00000000-0010-0000-4400-000004000000}" name="الوحده" totalsRowLabel="total" dataDxfId="249" totalsRowDxfId="3"/>
    <tableColumn id="5" xr3:uid="{00000000-0010-0000-4400-000005000000}" name="الوزن" dataDxfId="249" totalsRowDxfId="3"/>
    <tableColumn id="6" xr3:uid="{00000000-0010-0000-4400-000006000000}" name="سعر الكيلو" dataDxfId="249" totalsRowDxfId="3"/>
    <tableColumn id="7" xr3:uid="{00000000-0010-0000-4400-000007000000}" name="سعر الشبك " dataDxfId="318" totalsRowDxfId="288">
      <calculatedColumnFormula>Sheet2!B6</calculatedColumnFormula>
    </tableColumn>
    <tableColumn id="8" xr3:uid="{00000000-0010-0000-4400-000008000000}" name="اجمالي" totalsRowFunction="sum" dataDxfId="242" totalsRowDxfId="286">
      <calculatedColumnFormula>M28*U28</calculatedColumnFormula>
    </tableColumn>
    <tableColumn id="9" xr3:uid="{00000000-0010-0000-4400-000009000000}" name="%" totalsRowFunction="custom" totalsRowDxfId="28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49" totalsRowDxfId="245"/>
    <tableColumn id="2" xr3:uid="{00000000-0010-0000-4500-000002000000}" name="عدد" dataDxfId="246" totalsRowDxfId="245"/>
    <tableColumn id="3" xr3:uid="{00000000-0010-0000-4500-000003000000}" name="بيان" totalsRowLabel="Total" dataDxfId="249" totalsRowDxfId="245"/>
    <tableColumn id="11" xr3:uid="{00000000-0010-0000-4500-00000B000000}" name="Column2" dataDxfId="249" totalsRowDxfId="245"/>
    <tableColumn id="10" xr3:uid="{00000000-0010-0000-4500-00000A000000}" name="Column1" dataDxfId="249" totalsRowDxfId="245"/>
    <tableColumn id="12" xr3:uid="{00000000-0010-0000-4500-00000C000000}" name="Column12" dataDxfId="251" totalsRowDxfId="250"/>
    <tableColumn id="4" xr3:uid="{00000000-0010-0000-4500-000004000000}" name="الوحده" dataDxfId="249" totalsRowDxfId="245"/>
    <tableColumn id="5" xr3:uid="{00000000-0010-0000-4500-000005000000}" name="الوزن" dataDxfId="249" totalsRowDxfId="245"/>
    <tableColumn id="6" xr3:uid="{00000000-0010-0000-4500-000006000000}" name="سعر الكيلو" dataDxfId="249" totalsRowDxfId="245"/>
    <tableColumn id="7" xr3:uid="{00000000-0010-0000-4500-000007000000}" name="سعر الشبك " dataDxfId="318" totalsRowDxfId="243">
      <calculatedColumnFormula>Sheet2!B26</calculatedColumnFormula>
    </tableColumn>
    <tableColumn id="8" xr3:uid="{00000000-0010-0000-4500-000008000000}" name="اجمالي" totalsRowFunction="sum" dataDxfId="242" totalsRowDxfId="241">
      <calculatedColumnFormula>M14*U14</calculatedColumnFormula>
    </tableColumn>
    <tableColumn id="9" xr3:uid="{00000000-0010-0000-4500-000009000000}" name="%" totalsRowFunction="custom" totalsRowDxfId="240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49"/>
    <tableColumn id="2" xr3:uid="{00000000-0010-0000-4600-000002000000}" name="عدد" totalsRowFunction="count" dataDxfId="249">
      <calculatedColumnFormula>M20*4</calculatedColumnFormula>
    </tableColumn>
    <tableColumn id="3" xr3:uid="{00000000-0010-0000-4600-000003000000}" name="بيان" totalsRowLabel="Total" dataDxfId="249"/>
    <tableColumn id="11" xr3:uid="{00000000-0010-0000-4600-00000B000000}" name="Column2" dataDxfId="249"/>
    <tableColumn id="10" xr3:uid="{00000000-0010-0000-4600-00000A000000}" name="Column1" dataDxfId="249"/>
    <tableColumn id="12" xr3:uid="{00000000-0010-0000-4600-00000C000000}" name="Column12" totalsRowFunction="sum" dataDxfId="2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49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46"/>
    <tableColumn id="7" xr3:uid="{00000000-0010-0000-4600-000007000000}" name="سعر الشبك " dataDxfId="318">
      <calculatedColumnFormula>S22*$S$2/1000</calculatedColumnFormula>
    </tableColumn>
    <tableColumn id="8" xr3:uid="{00000000-0010-0000-4600-000008000000}" name="اجمالي" totalsRowFunction="sum" dataDxfId="242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67"/>
    <tableColumn id="2" xr3:uid="{00000000-0010-0000-4700-000002000000}" name="المعدل" dataDxfId="267"/>
    <tableColumn id="3" xr3:uid="{00000000-0010-0000-4700-000003000000}" name="الوحدة" dataDxfId="267"/>
    <tableColumn id="4" xr3:uid="{00000000-0010-0000-4700-000004000000}" name="Column4" dataDxfId="311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67"/>
    <tableColumn id="2" xr3:uid="{00000000-0010-0000-4800-000002000000}" name="Column2" dataDxfId="311"/>
    <tableColumn id="3" xr3:uid="{00000000-0010-0000-4800-000003000000}" name="Column3" dataDxfId="267"/>
    <tableColumn id="4" xr3:uid="{00000000-0010-0000-4800-000004000000}" name="Column4" dataDxfId="267"/>
    <tableColumn id="5" xr3:uid="{00000000-0010-0000-4800-000005000000}" name="Column5" dataDxfId="267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49" totalsRowDxfId="3"/>
    <tableColumn id="2" xr3:uid="{00000000-0010-0000-4900-000002000000}" name="عدد" dataDxfId="262" totalsRowDxfId="3">
      <calculatedColumnFormula>IF((تسعير!$AU$14="بالتات"),0,M49-2)</calculatedColumnFormula>
    </tableColumn>
    <tableColumn id="3" xr3:uid="{00000000-0010-0000-4900-000003000000}" name="بيان" totalsRowLabel="Total" dataDxfId="301" totalsRowDxfId="3"/>
    <tableColumn id="5" xr3:uid="{00000000-0010-0000-4900-000005000000}" name="اليومية / الاجرة" dataDxfId="301" totalsRowDxfId="3"/>
    <tableColumn id="6" xr3:uid="{00000000-0010-0000-4900-000006000000}" name="بدل الوجبة" dataDxfId="299" totalsRowDxfId="3"/>
    <tableColumn id="11" xr3:uid="{00000000-0010-0000-4900-00000B000000}" name="موقع العمل" dataDxfId="264" totalsRowDxfId="3">
      <calculatedColumnFormula>تسعير!$AT$24</calculatedColumnFormula>
    </tableColumn>
    <tableColumn id="10" xr3:uid="{00000000-0010-0000-4900-00000A000000}" name="شيفت العمل" dataDxfId="249" totalsRowDxfId="3"/>
    <tableColumn id="12" xr3:uid="{00000000-0010-0000-4900-00000C000000}" name="Column12" totalsRowFunction="sum" dataDxfId="251" totalsRowDxfId="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91" totalsRowDxfId="3"/>
    <tableColumn id="7" xr3:uid="{00000000-0010-0000-4900-000007000000}" name="اجمالي التكلفة للعامل" dataDxfId="289" totalsRowDxfId="288">
      <calculatedColumnFormula>Table16126776[[#This Row],[Column12]]</calculatedColumnFormula>
    </tableColumn>
    <tableColumn id="8" xr3:uid="{00000000-0010-0000-4900-000008000000}" name="اجمالي" totalsRowFunction="sum" dataDxfId="242" totalsRowDxfId="286">
      <calculatedColumnFormula>M52*U52</calculatedColumnFormula>
    </tableColumn>
    <tableColumn id="9" xr3:uid="{00000000-0010-0000-4900-000009000000}" name="%" totalsRowFunction="custom" totalsRowDxfId="28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64" totalsRowDxfId="245"/>
    <tableColumn id="2" xr3:uid="{00000000-0010-0000-4A00-000002000000}" name="عدد" dataDxfId="262" totalsRowDxfId="245">
      <calculatedColumnFormula>IF((Q63="الاسكندرية"),0.25,0.1)</calculatedColumnFormula>
    </tableColumn>
    <tableColumn id="3" xr3:uid="{00000000-0010-0000-4A00-000003000000}" name="بيان" totalsRowLabel="Total" dataDxfId="264" totalsRowDxfId="245"/>
    <tableColumn id="11" xr3:uid="{00000000-0010-0000-4A00-00000B000000}" name="Column2" dataDxfId="264" totalsRowDxfId="245"/>
    <tableColumn id="10" xr3:uid="{00000000-0010-0000-4A00-00000A000000}" name="Column1" dataDxfId="264" totalsRowDxfId="245"/>
    <tableColumn id="12" xr3:uid="{00000000-0010-0000-4A00-00000C000000}" name="Column12" totalsRowFunction="sum" dataDxfId="279" totalsRowDxfId="250"/>
    <tableColumn id="4" xr3:uid="{00000000-0010-0000-4A00-000004000000}" name="الوحده" dataDxfId="278" totalsRowDxfId="245"/>
    <tableColumn id="5" xr3:uid="{00000000-0010-0000-4A00-000005000000}" name="الوزن" dataDxfId="264" totalsRowDxfId="245"/>
    <tableColumn id="6" xr3:uid="{00000000-0010-0000-4A00-000006000000}" name="سعر الكيلو" dataDxfId="264" totalsRowDxfId="245"/>
    <tableColumn id="7" xr3:uid="{00000000-0010-0000-4A00-000007000000}" name="سعر الشبك " dataDxfId="275" totalsRowDxfId="243">
      <calculatedColumnFormula>Table80102114[[#Totals],[price]]</calculatedColumnFormula>
    </tableColumn>
    <tableColumn id="8" xr3:uid="{00000000-0010-0000-4A00-000008000000}" name="اجمالي" totalsRowFunction="sum" dataDxfId="242" totalsRowDxfId="241">
      <calculatedColumnFormula>M47*Table16136877[[#This Row],[سعر الشبك ]]</calculatedColumnFormula>
    </tableColumn>
    <tableColumn id="9" xr3:uid="{00000000-0010-0000-4A00-000009000000}" name="%" totalsRowFunction="custom" totalsRowDxfId="24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67"/>
    <tableColumn id="2" xr3:uid="{00000000-0010-0000-4B00-000002000000}" name="خارجي" dataDxfId="267"/>
    <tableColumn id="3" xr3:uid="{00000000-0010-0000-4B00-000003000000}" name="داخلي" dataDxfId="267"/>
    <tableColumn id="4" xr3:uid="{00000000-0010-0000-4B00-000004000000}" name="بدل الوجبة" dataDxfId="267"/>
    <tableColumn id="5" xr3:uid="{00000000-0010-0000-4B00-000005000000}" name="دبابة" dataDxfId="267"/>
    <tableColumn id="6" xr3:uid="{00000000-0010-0000-4B00-000006000000}" name="جامبو" dataDxfId="267"/>
    <tableColumn id="7" xr3:uid="{00000000-0010-0000-4B00-000007000000}" name="الاقامة" dataDxfId="267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64"/>
    <tableColumn id="4" xr3:uid="{00000000-0010-0000-4C00-000004000000}" name="Column22" dataDxfId="264"/>
    <tableColumn id="5" xr3:uid="{00000000-0010-0000-4C00-000005000000}" name="Column23" dataDxfId="264"/>
    <tableColumn id="3" xr3:uid="{00000000-0010-0000-4C00-000003000000}" name="Column3" dataDxfId="263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6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49" totalsRowDxfId="245"/>
    <tableColumn id="2" xr3:uid="{00000000-0010-0000-4D00-000002000000}" name="عدد" dataDxfId="249" totalsRowDxfId="245"/>
    <tableColumn id="3" xr3:uid="{00000000-0010-0000-4D00-000003000000}" name="بيان" totalsRowLabel="Total" dataDxfId="249" totalsRowDxfId="245"/>
    <tableColumn id="11" xr3:uid="{00000000-0010-0000-4D00-00000B000000}" name="Column2" dataDxfId="249" totalsRowDxfId="245"/>
    <tableColumn id="10" xr3:uid="{00000000-0010-0000-4D00-00000A000000}" name="Column1" dataDxfId="249" totalsRowDxfId="245"/>
    <tableColumn id="12" xr3:uid="{00000000-0010-0000-4D00-00000C000000}" name="المسطح" totalsRowFunction="sum" dataDxfId="251" totalsRowDxfId="250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49" totalsRowDxfId="245"/>
    <tableColumn id="5" xr3:uid="{00000000-0010-0000-4D00-000005000000}" name="الوزن" totalsRowFunction="custom" totalsRowDxfId="245">
      <totalsRowFormula>(S6*M6)+(S7*M7)+(M8*S8)+(S9*M9)</totalsRowFormula>
    </tableColumn>
    <tableColumn id="6" xr3:uid="{00000000-0010-0000-4D00-000006000000}" name="اجمالي المسطح" totalsRowFunction="sum" dataDxfId="246" totalsRowDxfId="245">
      <calculatedColumnFormula>Table15880[[#This Row],[المسطح]]*Table15880[[#This Row],[عدد]]</calculatedColumnFormula>
    </tableColumn>
    <tableColumn id="7" xr3:uid="{00000000-0010-0000-4D00-000007000000}" name="سعر الشبك " dataDxfId="244" totalsRowDxfId="243">
      <calculatedColumnFormula>S6*$S$2/1000</calculatedColumnFormula>
    </tableColumn>
    <tableColumn id="8" xr3:uid="{00000000-0010-0000-4D00-000008000000}" name="اجمالي" totalsRowFunction="sum" dataDxfId="242" totalsRowDxfId="241">
      <calculatedColumnFormula>M6*U6</calculatedColumnFormula>
    </tableColumn>
    <tableColumn id="9" xr3:uid="{00000000-0010-0000-4D00-000009000000}" name="%" totalsRowFunction="custom" totalsRowDxfId="240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49" totalsRowDxfId="3"/>
    <tableColumn id="2" xr3:uid="{00000000-0010-0000-4E00-000002000000}" name="عدد" dataDxfId="246" totalsRowDxfId="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49" totalsRowDxfId="3"/>
    <tableColumn id="11" xr3:uid="{00000000-0010-0000-4E00-00000B000000}" name="Column2" dataDxfId="249" totalsRowDxfId="3"/>
    <tableColumn id="10" xr3:uid="{00000000-0010-0000-4E00-00000A000000}" name="Column1" dataDxfId="249" totalsRowDxfId="3"/>
    <tableColumn id="12" xr3:uid="{00000000-0010-0000-4E00-00000C000000}" name="Column12" dataDxfId="249" totalsRowDxfId="3"/>
    <tableColumn id="4" xr3:uid="{00000000-0010-0000-4E00-000004000000}" name="الوحده" totalsRowLabel="total" dataDxfId="249" totalsRowDxfId="3"/>
    <tableColumn id="5" xr3:uid="{00000000-0010-0000-4E00-000005000000}" name="الوزن" dataDxfId="249" totalsRowDxfId="3"/>
    <tableColumn id="6" xr3:uid="{00000000-0010-0000-4E00-000006000000}" name="سعر الكيلو" dataDxfId="249" totalsRowDxfId="3"/>
    <tableColumn id="7" xr3:uid="{00000000-0010-0000-4E00-000007000000}" name="سعر الشبك " dataDxfId="318" totalsRowDxfId="288">
      <calculatedColumnFormula>Sheet2!B6</calculatedColumnFormula>
    </tableColumn>
    <tableColumn id="8" xr3:uid="{00000000-0010-0000-4E00-000008000000}" name="اجمالي" totalsRowFunction="sum" dataDxfId="242" totalsRowDxfId="286">
      <calculatedColumnFormula>M99*U100</calculatedColumnFormula>
    </tableColumn>
    <tableColumn id="9" xr3:uid="{00000000-0010-0000-4E00-000009000000}" name="%" totalsRowFunction="custom" totalsRowDxfId="28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49" totalsRowDxfId="245"/>
    <tableColumn id="2" xr3:uid="{00000000-0010-0000-4F00-000002000000}" name="عدد" dataDxfId="246" totalsRowDxfId="245">
      <calculatedColumnFormula>IF((I70="بالتات"),0,4)</calculatedColumnFormula>
    </tableColumn>
    <tableColumn id="3" xr3:uid="{00000000-0010-0000-4F00-000003000000}" name="بيان" totalsRowLabel="Total" dataDxfId="249" totalsRowDxfId="245"/>
    <tableColumn id="11" xr3:uid="{00000000-0010-0000-4F00-00000B000000}" name="Column2" dataDxfId="249" totalsRowDxfId="245"/>
    <tableColumn id="10" xr3:uid="{00000000-0010-0000-4F00-00000A000000}" name="Column1" dataDxfId="249" totalsRowDxfId="245"/>
    <tableColumn id="12" xr3:uid="{00000000-0010-0000-4F00-00000C000000}" name="Column12" dataDxfId="251" totalsRowDxfId="250"/>
    <tableColumn id="4" xr3:uid="{00000000-0010-0000-4F00-000004000000}" name="الوحده" dataDxfId="249" totalsRowDxfId="245"/>
    <tableColumn id="5" xr3:uid="{00000000-0010-0000-4F00-000005000000}" name="الوزن" dataDxfId="249" totalsRowDxfId="245"/>
    <tableColumn id="6" xr3:uid="{00000000-0010-0000-4F00-000006000000}" name="سعر الكيلو" dataDxfId="249" totalsRowDxfId="245"/>
    <tableColumn id="7" xr3:uid="{00000000-0010-0000-4F00-000007000000}" name="سعر الشبك " dataDxfId="318" totalsRowDxfId="243">
      <calculatedColumnFormula>Sheet2!B26</calculatedColumnFormula>
    </tableColumn>
    <tableColumn id="8" xr3:uid="{00000000-0010-0000-4F00-000008000000}" name="اجمالي" totalsRowFunction="sum" dataDxfId="242" totalsRowDxfId="241">
      <calculatedColumnFormula>M85*U85</calculatedColumnFormula>
    </tableColumn>
    <tableColumn id="9" xr3:uid="{00000000-0010-0000-4F00-000009000000}" name="%" totalsRowFunction="custom" totalsRowDxfId="240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49"/>
    <tableColumn id="2" xr3:uid="{00000000-0010-0000-5000-000002000000}" name="عدد" totalsRowFunction="sum" dataDxfId="249">
      <calculatedColumnFormula>M91*4</calculatedColumnFormula>
    </tableColumn>
    <tableColumn id="3" xr3:uid="{00000000-0010-0000-5000-000003000000}" name="بيان" totalsRowLabel="Total" dataDxfId="249"/>
    <tableColumn id="11" xr3:uid="{00000000-0010-0000-5000-00000B000000}" name="Column2" dataDxfId="249"/>
    <tableColumn id="10" xr3:uid="{00000000-0010-0000-5000-00000A000000}" name="Column1" dataDxfId="249"/>
    <tableColumn id="12" xr3:uid="{00000000-0010-0000-5000-00000C000000}" name="Column12" totalsRowFunction="sum" dataDxfId="2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49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46"/>
    <tableColumn id="7" xr3:uid="{00000000-0010-0000-5000-000007000000}" name="سعر الشبك " dataDxfId="318">
      <calculatedColumnFormula>S93*$S$2/1000</calculatedColumnFormula>
    </tableColumn>
    <tableColumn id="8" xr3:uid="{00000000-0010-0000-5000-000008000000}" name="اجمالي" totalsRowFunction="sum" dataDxfId="242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67"/>
    <tableColumn id="2" xr3:uid="{00000000-0010-0000-5100-000002000000}" name="المعدل" dataDxfId="267"/>
    <tableColumn id="3" xr3:uid="{00000000-0010-0000-5100-000003000000}" name="الوحدة" dataDxfId="267"/>
    <tableColumn id="4" xr3:uid="{00000000-0010-0000-5100-000004000000}" name="Column4" dataDxfId="311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67"/>
    <tableColumn id="2" xr3:uid="{00000000-0010-0000-5200-000002000000}" name="Column2" dataDxfId="311"/>
    <tableColumn id="3" xr3:uid="{00000000-0010-0000-5200-000003000000}" name="Column3" dataDxfId="267"/>
    <tableColumn id="4" xr3:uid="{00000000-0010-0000-5200-000004000000}" name="Column4" dataDxfId="267"/>
    <tableColumn id="5" xr3:uid="{00000000-0010-0000-5200-000005000000}" name="Column5" dataDxfId="267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49" totalsRowDxfId="3"/>
    <tableColumn id="2" xr3:uid="{00000000-0010-0000-5300-000002000000}" name="عدد" dataDxfId="262" totalsRowDxfId="3">
      <calculatedColumnFormula>IF((تسعير!$AU$14="بالتات"),0,M120-2)</calculatedColumnFormula>
    </tableColumn>
    <tableColumn id="3" xr3:uid="{00000000-0010-0000-5300-000003000000}" name="بيان" totalsRowLabel="Total" dataDxfId="301" totalsRowDxfId="3"/>
    <tableColumn id="5" xr3:uid="{00000000-0010-0000-5300-000005000000}" name="اليومية / الاجرة" dataDxfId="301" totalsRowDxfId="3"/>
    <tableColumn id="6" xr3:uid="{00000000-0010-0000-5300-000006000000}" name="بدل الوجبة" dataDxfId="299" totalsRowDxfId="3"/>
    <tableColumn id="11" xr3:uid="{00000000-0010-0000-5300-00000B000000}" name="موقع العمل" dataDxfId="264" totalsRowDxfId="3">
      <calculatedColumnFormula>تسعير!$AT$44</calculatedColumnFormula>
    </tableColumn>
    <tableColumn id="10" xr3:uid="{00000000-0010-0000-5300-00000A000000}" name="شيفت العمل" dataDxfId="249" totalsRowDxfId="3"/>
    <tableColumn id="12" xr3:uid="{00000000-0010-0000-5300-00000C000000}" name="Column12" totalsRowFunction="sum" dataDxfId="251" totalsRowDxfId="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91" totalsRowDxfId="3"/>
    <tableColumn id="7" xr3:uid="{00000000-0010-0000-5300-000007000000}" name="اجمالي التكلفة للعامل" dataDxfId="289" totalsRowDxfId="288">
      <calculatedColumnFormula>Table1612677697[[#This Row],[Column12]]</calculatedColumnFormula>
    </tableColumn>
    <tableColumn id="8" xr3:uid="{00000000-0010-0000-5300-000008000000}" name="اجمالي" totalsRowFunction="sum" dataDxfId="242" totalsRowDxfId="286">
      <calculatedColumnFormula>M123*U123</calculatedColumnFormula>
    </tableColumn>
    <tableColumn id="9" xr3:uid="{00000000-0010-0000-5300-000009000000}" name="%" totalsRowFunction="custom" totalsRowDxfId="28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0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64" totalsRowDxfId="245"/>
    <tableColumn id="2" xr3:uid="{00000000-0010-0000-5400-000002000000}" name="عدد" dataDxfId="262" totalsRowDxfId="245">
      <calculatedColumnFormula>IF((Q134="الاسكندرية"),0.25,0.1)</calculatedColumnFormula>
    </tableColumn>
    <tableColumn id="3" xr3:uid="{00000000-0010-0000-5400-000003000000}" name="بيان" totalsRowLabel="Total" dataDxfId="264" totalsRowDxfId="245"/>
    <tableColumn id="11" xr3:uid="{00000000-0010-0000-5400-00000B000000}" name="Column2" dataDxfId="264" totalsRowDxfId="245"/>
    <tableColumn id="10" xr3:uid="{00000000-0010-0000-5400-00000A000000}" name="Column1" dataDxfId="264" totalsRowDxfId="245"/>
    <tableColumn id="12" xr3:uid="{00000000-0010-0000-5400-00000C000000}" name="Column12" totalsRowFunction="sum" dataDxfId="279" totalsRowDxfId="250"/>
    <tableColumn id="4" xr3:uid="{00000000-0010-0000-5400-000004000000}" name="الوحده" dataDxfId="278" totalsRowDxfId="245"/>
    <tableColumn id="5" xr3:uid="{00000000-0010-0000-5400-000005000000}" name="الوزن" dataDxfId="264" totalsRowDxfId="245"/>
    <tableColumn id="6" xr3:uid="{00000000-0010-0000-5400-000006000000}" name="سعر الكيلو" dataDxfId="264" totalsRowDxfId="245"/>
    <tableColumn id="7" xr3:uid="{00000000-0010-0000-5400-000007000000}" name="سعر الشبك " dataDxfId="275" totalsRowDxfId="243">
      <calculatedColumnFormula>F96</calculatedColumnFormula>
    </tableColumn>
    <tableColumn id="8" xr3:uid="{00000000-0010-0000-5400-000008000000}" name="اجمالي" totalsRowFunction="sum" dataDxfId="242" totalsRowDxfId="241">
      <calculatedColumnFormula>M118*Table1613687798[[#This Row],[سعر الشبك ]]</calculatedColumnFormula>
    </tableColumn>
    <tableColumn id="9" xr3:uid="{00000000-0010-0000-5400-000009000000}" name="%" totalsRowFunction="custom" totalsRowDxfId="24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67"/>
    <tableColumn id="2" xr3:uid="{00000000-0010-0000-5500-000002000000}" name="خارجي" dataDxfId="267"/>
    <tableColumn id="3" xr3:uid="{00000000-0010-0000-5500-000003000000}" name="داخلي" dataDxfId="267"/>
    <tableColumn id="4" xr3:uid="{00000000-0010-0000-5500-000004000000}" name="بدل الوجبة" dataDxfId="267"/>
    <tableColumn id="5" xr3:uid="{00000000-0010-0000-5500-000005000000}" name="دبابة" dataDxfId="267"/>
    <tableColumn id="6" xr3:uid="{00000000-0010-0000-5500-000006000000}" name="جامبو" dataDxfId="267"/>
    <tableColumn id="7" xr3:uid="{00000000-0010-0000-5500-000007000000}" name="الاقامة" dataDxfId="267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64"/>
    <tableColumn id="4" xr3:uid="{00000000-0010-0000-5600-000004000000}" name="Column22" dataDxfId="264"/>
    <tableColumn id="5" xr3:uid="{00000000-0010-0000-5600-000005000000}" name="Column23" dataDxfId="264"/>
    <tableColumn id="3" xr3:uid="{00000000-0010-0000-5600-000003000000}" name="Column3" dataDxfId="263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6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49" totalsRowDxfId="245"/>
    <tableColumn id="2" xr3:uid="{00000000-0010-0000-5700-000002000000}" name="عدد" dataDxfId="249" totalsRowDxfId="24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49" totalsRowDxfId="245"/>
    <tableColumn id="11" xr3:uid="{00000000-0010-0000-5700-00000B000000}" name="Column2" dataDxfId="249" totalsRowDxfId="245"/>
    <tableColumn id="10" xr3:uid="{00000000-0010-0000-5700-00000A000000}" name="Column1" dataDxfId="249" totalsRowDxfId="245"/>
    <tableColumn id="12" xr3:uid="{00000000-0010-0000-5700-00000C000000}" name="المسطح" totalsRowFunction="sum" dataDxfId="251" totalsRowDxfId="250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49" totalsRowDxfId="245"/>
    <tableColumn id="5" xr3:uid="{00000000-0010-0000-5700-000005000000}" name="الوزن" totalsRowFunction="custom" totalsRowDxfId="245">
      <totalsRowFormula>(S77*M77)+(S78*M78)+(M79*S79)+(S80*M80)</totalsRowFormula>
    </tableColumn>
    <tableColumn id="6" xr3:uid="{00000000-0010-0000-5700-000006000000}" name="اجمالي المسطح" totalsRowFunction="sum" dataDxfId="246" totalsRowDxfId="245">
      <calculatedColumnFormula>Table15880101[[#This Row],[المسطح]]*Table15880101[[#This Row],[عدد]]</calculatedColumnFormula>
    </tableColumn>
    <tableColumn id="7" xr3:uid="{00000000-0010-0000-5700-000007000000}" name="سعر الشبك " dataDxfId="244" totalsRowDxfId="243">
      <calculatedColumnFormula>S77*$S$2/1000</calculatedColumnFormula>
    </tableColumn>
    <tableColumn id="8" xr3:uid="{00000000-0010-0000-5700-000008000000}" name="اجمالي" totalsRowFunction="sum" dataDxfId="242" totalsRowDxfId="241">
      <calculatedColumnFormula>M77*U77</calculatedColumnFormula>
    </tableColumn>
    <tableColumn id="9" xr3:uid="{00000000-0010-0000-5700-000009000000}" name="%" totalsRowFunction="custom" totalsRowDxfId="240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49" totalsRowDxfId="3"/>
    <tableColumn id="2" xr3:uid="{00000000-0010-0000-5800-000002000000}" name="عدد" dataDxfId="246" totalsRowDxfId="3"/>
    <tableColumn id="3" xr3:uid="{00000000-0010-0000-5800-000003000000}" name="بيان" totalsRowLabel="Total" dataDxfId="249" totalsRowDxfId="3"/>
    <tableColumn id="11" xr3:uid="{00000000-0010-0000-5800-00000B000000}" name="Column2" dataDxfId="249" totalsRowDxfId="3"/>
    <tableColumn id="10" xr3:uid="{00000000-0010-0000-5800-00000A000000}" name="Column1" dataDxfId="249" totalsRowDxfId="3"/>
    <tableColumn id="12" xr3:uid="{00000000-0010-0000-5800-00000C000000}" name="Column12" dataDxfId="249" totalsRowDxfId="3"/>
    <tableColumn id="4" xr3:uid="{00000000-0010-0000-5800-000004000000}" name="الوحده" totalsRowLabel="total" dataDxfId="249" totalsRowDxfId="3"/>
    <tableColumn id="5" xr3:uid="{00000000-0010-0000-5800-000005000000}" name="الوزن" dataDxfId="249" totalsRowDxfId="3"/>
    <tableColumn id="6" xr3:uid="{00000000-0010-0000-5800-000006000000}" name="سعر الكيلو" dataDxfId="249" totalsRowDxfId="3"/>
    <tableColumn id="7" xr3:uid="{00000000-0010-0000-5800-000007000000}" name="سعر الشبك " dataDxfId="318" totalsRowDxfId="288">
      <calculatedColumnFormula>Sheet2!AW6</calculatedColumnFormula>
    </tableColumn>
    <tableColumn id="8" xr3:uid="{00000000-0010-0000-5800-000008000000}" name="اجمالي" totalsRowFunction="sum" dataDxfId="242" totalsRowDxfId="286">
      <calculatedColumnFormula>BH28*BP28</calculatedColumnFormula>
    </tableColumn>
    <tableColumn id="9" xr3:uid="{00000000-0010-0000-5800-000009000000}" name="%" totalsRowFunction="custom" totalsRowDxfId="28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49" totalsRowDxfId="245"/>
    <tableColumn id="2" xr3:uid="{00000000-0010-0000-5900-000002000000}" name="عدد" dataDxfId="246" totalsRowDxfId="245"/>
    <tableColumn id="3" xr3:uid="{00000000-0010-0000-5900-000003000000}" name="بيان" totalsRowLabel="Total" dataDxfId="249" totalsRowDxfId="245"/>
    <tableColumn id="11" xr3:uid="{00000000-0010-0000-5900-00000B000000}" name="Column2" dataDxfId="249" totalsRowDxfId="245"/>
    <tableColumn id="10" xr3:uid="{00000000-0010-0000-5900-00000A000000}" name="Column1" dataDxfId="249" totalsRowDxfId="245"/>
    <tableColumn id="12" xr3:uid="{00000000-0010-0000-5900-00000C000000}" name="Column12" dataDxfId="251" totalsRowDxfId="250"/>
    <tableColumn id="4" xr3:uid="{00000000-0010-0000-5900-000004000000}" name="الوحده" dataDxfId="249" totalsRowDxfId="245"/>
    <tableColumn id="5" xr3:uid="{00000000-0010-0000-5900-000005000000}" name="الوزن" dataDxfId="249" totalsRowDxfId="245"/>
    <tableColumn id="6" xr3:uid="{00000000-0010-0000-5900-000006000000}" name="سعر الكيلو" dataDxfId="249" totalsRowDxfId="245"/>
    <tableColumn id="7" xr3:uid="{00000000-0010-0000-5900-000007000000}" name="سعر الشبك " dataDxfId="318" totalsRowDxfId="243">
      <calculatedColumnFormula>Sheet2!AW26</calculatedColumnFormula>
    </tableColumn>
    <tableColumn id="8" xr3:uid="{00000000-0010-0000-5900-000008000000}" name="اجمالي" totalsRowFunction="sum" dataDxfId="242" totalsRowDxfId="241">
      <calculatedColumnFormula>BH14*BP14</calculatedColumnFormula>
    </tableColumn>
    <tableColumn id="9" xr3:uid="{00000000-0010-0000-5900-000009000000}" name="%" totalsRowFunction="custom" totalsRowDxfId="24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49"/>
    <tableColumn id="2" xr3:uid="{00000000-0010-0000-5A00-000002000000}" name="عدد" totalsRowFunction="count" dataDxfId="249">
      <calculatedColumnFormula>BH20*4</calculatedColumnFormula>
    </tableColumn>
    <tableColumn id="3" xr3:uid="{00000000-0010-0000-5A00-000003000000}" name="بيان" totalsRowLabel="Total" dataDxfId="249"/>
    <tableColumn id="11" xr3:uid="{00000000-0010-0000-5A00-00000B000000}" name="Column2" dataDxfId="249"/>
    <tableColumn id="10" xr3:uid="{00000000-0010-0000-5A00-00000A000000}" name="Column1" dataDxfId="249"/>
    <tableColumn id="12" xr3:uid="{00000000-0010-0000-5A00-00000C000000}" name="Column12" totalsRowFunction="sum" dataDxfId="2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49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46"/>
    <tableColumn id="7" xr3:uid="{00000000-0010-0000-5A00-000007000000}" name="سعر الشبك " dataDxfId="318">
      <calculatedColumnFormula>BN22*$S$2/1000</calculatedColumnFormula>
    </tableColumn>
    <tableColumn id="8" xr3:uid="{00000000-0010-0000-5A00-000008000000}" name="اجمالي" totalsRowFunction="sum" dataDxfId="242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67"/>
    <tableColumn id="2" xr3:uid="{00000000-0010-0000-5B00-000002000000}" name="المعدل" dataDxfId="267"/>
    <tableColumn id="3" xr3:uid="{00000000-0010-0000-5B00-000003000000}" name="الوحدة" dataDxfId="267"/>
    <tableColumn id="4" xr3:uid="{00000000-0010-0000-5B00-000004000000}" name="Column4" dataDxfId="311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67"/>
    <tableColumn id="2" xr3:uid="{00000000-0010-0000-5C00-000002000000}" name="Column2" dataDxfId="311"/>
    <tableColumn id="3" xr3:uid="{00000000-0010-0000-5C00-000003000000}" name="Column3" dataDxfId="267"/>
    <tableColumn id="4" xr3:uid="{00000000-0010-0000-5C00-000004000000}" name="Column4" dataDxfId="267"/>
    <tableColumn id="5" xr3:uid="{00000000-0010-0000-5C00-000005000000}" name="Column5" dataDxfId="267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49" totalsRowDxfId="3"/>
    <tableColumn id="2" xr3:uid="{00000000-0010-0000-5D00-000002000000}" name="عدد" dataDxfId="262" totalsRowDxfId="3">
      <calculatedColumnFormula>IF((تسعير!$AU$14="بالتات"),0,BH48-2)</calculatedColumnFormula>
    </tableColumn>
    <tableColumn id="3" xr3:uid="{00000000-0010-0000-5D00-000003000000}" name="بيان" totalsRowLabel="Total" dataDxfId="301" totalsRowDxfId="3"/>
    <tableColumn id="5" xr3:uid="{00000000-0010-0000-5D00-000005000000}" name="اليومية / الاجرة" dataDxfId="301" totalsRowDxfId="3"/>
    <tableColumn id="6" xr3:uid="{00000000-0010-0000-5D00-000006000000}" name="بدل الوجبة" dataDxfId="299" totalsRowDxfId="3"/>
    <tableColumn id="11" xr3:uid="{00000000-0010-0000-5D00-00000B000000}" name="موقع العمل" dataDxfId="264" totalsRowDxfId="3">
      <calculatedColumnFormula>تسعير!$AT$44</calculatedColumnFormula>
    </tableColumn>
    <tableColumn id="10" xr3:uid="{00000000-0010-0000-5D00-00000A000000}" name="شيفت العمل" dataDxfId="249" totalsRowDxfId="3"/>
    <tableColumn id="12" xr3:uid="{00000000-0010-0000-5D00-00000C000000}" name="Column12" totalsRowFunction="sum" dataDxfId="251" totalsRowDxfId="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91" totalsRowDxfId="3"/>
    <tableColumn id="7" xr3:uid="{00000000-0010-0000-5D00-000007000000}" name="اجمالي التكلفة للعامل" dataDxfId="289" totalsRowDxfId="288">
      <calculatedColumnFormula>Table1612677686[[#This Row],[Column12]]</calculatedColumnFormula>
    </tableColumn>
    <tableColumn id="8" xr3:uid="{00000000-0010-0000-5D00-000008000000}" name="اجمالي" totalsRowFunction="sum" dataDxfId="242" totalsRowDxfId="286">
      <calculatedColumnFormula>BH51*BP51</calculatedColumnFormula>
    </tableColumn>
    <tableColumn id="9" xr3:uid="{00000000-0010-0000-5D00-000009000000}" name="%" totalsRowFunction="custom" totalsRowDxfId="285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796" t="s">
        <v>611</v>
      </c>
      <c r="H1" s="796"/>
      <c r="I1" s="796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797" t="s">
        <v>618</v>
      </c>
      <c r="H4" s="797"/>
      <c r="I4" s="797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798" t="s">
        <v>619</v>
      </c>
      <c r="B10" s="798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1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Φωτισμου'!B9</f>
        <v>3</v>
      </c>
    </row>
    <row r="19" ht="18" customHeight="1">
      <c r="A19" s="899" t="s">
        <v>357</v>
      </c>
      <c r="B19" s="900"/>
      <c r="C19" s="14">
        <f>'Format Φωτισμου'!B12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368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272000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تسجيل1!C7</f>
        <v>400</v>
      </c>
      <c r="L6" s="92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οδηγου'!F8</f>
        <v>365</v>
      </c>
      <c r="J11" s="941"/>
      <c r="K11" s="106"/>
      <c r="L11" s="942">
        <f>IF(تسعير!T10=Sheet2!A3,2,IF(Format!A7=1,تسجيل1!H27,IF(Format!A7=2,تسجيل1!H27,IF(Format!A7=3,تسجيل1!H27,IF(Format!A7=4,تسجيل1!H27,IF(Format!A7=5,تسجيل1!H27,"-------"))))))</f>
        <v>2</v>
      </c>
      <c r="M11" s="942"/>
      <c r="N11" s="94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IF(تسعير!T10=Sheet2!A3,0,(G12+G13)/2)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IF(Format!E7=1,"-------",IF(Format!E7=5,"-------",تسجيل1!H30))</f>
        <v>2</v>
      </c>
      <c r="M21" s="947" t="str">
        <f>IF(L21="-------","-------",تسجيل1!D11)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18451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45111.178346874171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91" t="s">
        <v>444</v>
      </c>
      <c r="H2" s="109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09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87893.134375000009</v>
      </c>
      <c r="H3" s="1092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93" t="s">
        <v>440</v>
      </c>
      <c r="I6" s="1093"/>
      <c r="J6" s="1093"/>
      <c r="K6" s="1093"/>
      <c r="L6" s="1093" t="s">
        <v>446</v>
      </c>
      <c r="M6" s="1093"/>
      <c r="R6" s="635"/>
      <c r="S6" s="361" t="s">
        <v>455</v>
      </c>
      <c r="T6" s="361">
        <f>IF(Table1134[العرض]&lt;=600,ROUND((Table1134[العرض]/100),0),"NO")</f>
        <v>4</v>
      </c>
      <c r="V6" s="1077" t="s">
        <v>448</v>
      </c>
      <c r="W6" s="107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93"/>
      <c r="I7" s="1093"/>
      <c r="J7" s="1093"/>
      <c r="K7" s="1093"/>
      <c r="L7" s="1093"/>
      <c r="M7" s="1093"/>
      <c r="R7" s="635"/>
      <c r="S7" s="361" t="s">
        <v>458</v>
      </c>
      <c r="T7" s="361">
        <f>IF(Table1134[الامتداد]&lt;=600,ROUND((Table1134[الامتداد]/100),0),"NO")</f>
        <v>4</v>
      </c>
      <c r="V7" s="1077"/>
      <c r="W7" s="107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93"/>
      <c r="I8" s="1093"/>
      <c r="J8" s="1093"/>
      <c r="K8" s="1093"/>
      <c r="L8" s="1093"/>
      <c r="M8" s="109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93"/>
      <c r="I9" s="1093"/>
      <c r="J9" s="1093"/>
      <c r="K9" s="1093"/>
      <c r="L9" s="1093"/>
      <c r="M9" s="109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120289.09999999999</v>
      </c>
      <c r="H10" s="1093"/>
      <c r="I10" s="1093"/>
      <c r="J10" s="1093"/>
      <c r="K10" s="1093"/>
      <c r="L10" s="1093"/>
      <c r="M10" s="109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14064.43</v>
      </c>
      <c r="H11" s="1093"/>
      <c r="I11" s="1093"/>
      <c r="J11" s="1093"/>
      <c r="K11" s="109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154708.72999999998</v>
      </c>
      <c r="H12" s="1093"/>
      <c r="I12" s="1093"/>
      <c r="J12" s="1093"/>
      <c r="K12" s="109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44597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15354.9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9644.4000000000015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55746.249999999993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8420.8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19740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3767.2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5447.75</v>
      </c>
      <c r="N24" s="194"/>
      <c r="O24" s="194"/>
      <c r="P24" s="194"/>
      <c r="Q24" s="194">
        <f>SUBTOTAL(109,Table80102113140[price])</f>
        <v>69335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13750.1925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105418.1425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15082.65</v>
      </c>
      <c r="R27" s="635"/>
      <c r="S27" s="1007"/>
      <c r="T27" s="1007"/>
      <c r="U27" s="1007"/>
      <c r="V27" s="1007"/>
      <c r="W27" s="100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77" t="s">
        <v>449</v>
      </c>
      <c r="W28" s="107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77"/>
      <c r="W29" s="107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69335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14669.92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10969.785000000002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120667.63500000001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9451.28642857143</v>
      </c>
      <c r="D36" s="194"/>
      <c r="E36" s="194"/>
      <c r="F36" s="194"/>
      <c r="G36" s="194">
        <f>SUBTOTAL(109,Table80102[price])</f>
        <v>120289.09999999999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07"/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7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79" t="s">
        <v>447</v>
      </c>
      <c r="N38" s="1079"/>
      <c r="O38" s="1079"/>
      <c r="P38" s="1079"/>
      <c r="Q38" s="107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7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79"/>
      <c r="N39" s="1079"/>
      <c r="O39" s="1079"/>
      <c r="P39" s="1079"/>
      <c r="Q39" s="107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7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79"/>
      <c r="N40" s="1079"/>
      <c r="O40" s="1079"/>
      <c r="P40" s="1079"/>
      <c r="Q40" s="1079"/>
      <c r="R40" s="635"/>
      <c r="S40" s="527"/>
      <c r="T40" s="527"/>
      <c r="U40" s="527"/>
      <c r="V40" s="527"/>
      <c r="W40" s="527"/>
      <c r="X40" s="635"/>
    </row>
    <row r="41" ht="15" customHeight="1">
      <c r="A41" s="1078"/>
      <c r="B41" s="361" t="s">
        <v>490</v>
      </c>
      <c r="C41" s="361">
        <v>1</v>
      </c>
      <c r="F41" s="641">
        <f>L47</f>
        <v>61684.926880444342</v>
      </c>
      <c r="M41" s="1079"/>
      <c r="N41" s="1079"/>
      <c r="O41" s="1079"/>
      <c r="P41" s="1079"/>
      <c r="Q41" s="1079"/>
      <c r="R41" s="635"/>
      <c r="S41" s="1080"/>
      <c r="T41" s="1080"/>
      <c r="U41" s="1080"/>
      <c r="V41" s="1080"/>
      <c r="W41" s="1080"/>
      <c r="X41" s="635"/>
    </row>
    <row r="42" ht="21" customHeight="1">
      <c r="A42" s="107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1" t="s">
        <v>368</v>
      </c>
      <c r="J42" s="1082"/>
      <c r="K42" s="1083" t="s">
        <v>337</v>
      </c>
      <c r="L42" s="1084"/>
      <c r="M42" s="1079"/>
      <c r="N42" s="1079"/>
      <c r="O42" s="1079"/>
      <c r="P42" s="1079"/>
      <c r="Q42" s="1079"/>
      <c r="R42" s="635"/>
      <c r="S42" s="527" t="s">
        <v>492</v>
      </c>
      <c r="T42" s="527">
        <f>(Table1134[الامتداد]-30)/17</f>
        <v>21.764705882352942</v>
      </c>
      <c r="U42" s="527"/>
      <c r="V42" s="1076" t="s">
        <v>456</v>
      </c>
      <c r="W42" s="1076"/>
      <c r="X42" s="635"/>
    </row>
    <row r="43" ht="17.4" customHeight="1">
      <c r="A43" s="107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79"/>
      <c r="N43" s="1079"/>
      <c r="O43" s="1079"/>
      <c r="P43" s="1079"/>
      <c r="Q43" s="107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76"/>
      <c r="W43" s="1076"/>
      <c r="X43" s="635"/>
    </row>
    <row r="44" ht="19.2" customHeight="1">
      <c r="A44" s="107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79"/>
      <c r="N44" s="1079"/>
      <c r="O44" s="1079"/>
      <c r="P44" s="1079"/>
      <c r="Q44" s="107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7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79"/>
      <c r="N45" s="1079"/>
      <c r="O45" s="1079"/>
      <c r="P45" s="1079"/>
      <c r="Q45" s="107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7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85" t="s">
        <v>369</v>
      </c>
      <c r="K46" s="1086"/>
      <c r="L46" s="1087">
        <f>IF(Table1134[لون اللوفرز]=AI1,K3+(Sheet2!B41*1000),IF(Table1134[لون اللوفرز]=AI2,K3+Sheet2!B15,"NO"))</f>
        <v>282000</v>
      </c>
      <c r="M46" s="108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15082.65</v>
      </c>
      <c r="X46" s="635"/>
      <c r="Y46" s="527"/>
    </row>
    <row r="47" ht="19.2" customHeight="1">
      <c r="A47" s="107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90" t="s">
        <v>498</v>
      </c>
      <c r="K47" s="1090"/>
      <c r="L47" s="1064">
        <f>Table13138[[#Totals],[السعر]]+Table15139[[#Totals],[قيمة]]</f>
        <v>61684.926880444342</v>
      </c>
      <c r="M47" s="106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1994.4</v>
      </c>
      <c r="X47" s="635"/>
      <c r="Y47" s="527"/>
    </row>
    <row r="48" ht="17.4" customHeight="1">
      <c r="A48" s="107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65" t="s">
        <v>127</v>
      </c>
      <c r="K48" s="1066"/>
      <c r="L48" s="1067">
        <f>L47/J44</f>
        <v>4406.066205746024</v>
      </c>
      <c r="M48" s="106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31993.5</v>
      </c>
      <c r="X48" s="635"/>
      <c r="Y48" s="527"/>
    </row>
    <row r="49" ht="28.2" customHeight="1">
      <c r="A49" s="107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78"/>
      <c r="B50" s="527"/>
      <c r="C50" s="527"/>
      <c r="D50" s="527"/>
      <c r="E50" s="1075" t="s">
        <v>500</v>
      </c>
      <c r="F50" s="1075"/>
      <c r="G50" s="107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7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7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10053.36103896104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7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4204.7043189368769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7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7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5931.7241379310344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11332.6125</v>
      </c>
      <c r="X55" s="635"/>
      <c r="Y55" s="527"/>
    </row>
    <row r="56" ht="18" customHeight="1">
      <c r="A56" s="107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86883.3625</v>
      </c>
      <c r="X56" s="635"/>
      <c r="Y56" s="527"/>
    </row>
    <row r="57" ht="18" customHeight="1">
      <c r="A57" s="107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1573.4153846153847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7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76" t="s">
        <v>459</v>
      </c>
      <c r="W58" s="1076"/>
      <c r="X58" s="635"/>
      <c r="Y58" s="527"/>
    </row>
    <row r="59" ht="28.95" customHeight="1">
      <c r="A59" s="107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76"/>
      <c r="W59" s="1076"/>
      <c r="X59" s="635"/>
      <c r="Y59" s="527"/>
    </row>
    <row r="60" ht="18" customHeight="1">
      <c r="A60" s="107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7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7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15082.65</v>
      </c>
      <c r="X62" s="635"/>
      <c r="Y62" s="527"/>
    </row>
    <row r="63" ht="18" customHeight="1">
      <c r="A63" s="107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24863.20488044434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39555.6</v>
      </c>
      <c r="X63" s="635"/>
      <c r="Y63" s="527"/>
    </row>
    <row r="64" ht="17.4" customHeight="1">
      <c r="A64" s="107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1662</v>
      </c>
      <c r="X64" s="635"/>
      <c r="Y64" s="527"/>
    </row>
    <row r="65" ht="18" customHeight="1">
      <c r="A65" s="107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7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7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71" t="s">
        <v>366</v>
      </c>
      <c r="I67" s="1071"/>
      <c r="J67" s="107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7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71">
        <v>2</v>
      </c>
      <c r="I68" s="1071"/>
      <c r="J68" s="107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7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7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72" t="s">
        <v>392</v>
      </c>
      <c r="I70" s="1072"/>
      <c r="J70" s="107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7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12342.0675</v>
      </c>
      <c r="X71" s="635"/>
    </row>
    <row r="72" ht="18" customHeight="1">
      <c r="A72" s="107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95622.5175</v>
      </c>
      <c r="X72" s="635"/>
    </row>
    <row r="73" ht="18">
      <c r="A73" s="107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73" t="s">
        <v>397</v>
      </c>
      <c r="I73" s="1073"/>
      <c r="J73" s="1073"/>
      <c r="K73" s="527"/>
      <c r="L73" s="527"/>
      <c r="M73" s="527"/>
      <c r="N73" s="527"/>
      <c r="O73" s="527"/>
      <c r="P73" s="527"/>
      <c r="Q73" s="527"/>
      <c r="R73" s="635"/>
      <c r="S73" s="1007"/>
      <c r="T73" s="1007"/>
      <c r="U73" s="1007"/>
      <c r="V73" s="1007"/>
      <c r="W73" s="1007"/>
      <c r="X73" s="635"/>
    </row>
    <row r="74" ht="21">
      <c r="A74" s="107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88">
        <f>IF(B141=1,(J43-2-6)/(H68-1),IF(B141=2,(J43-2-7)/(H68-1),IF(B141=3,(J43-2-6)/(H68-1),IF(B141=4,(J43-2-8.5)/(H68-1),IF(B141=5,(J43-2-10)/(H68-1),"--------")))))</f>
        <v>341</v>
      </c>
      <c r="I74" s="1088"/>
      <c r="J74" s="108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89" t="s">
        <v>462</v>
      </c>
      <c r="W74" s="1089"/>
      <c r="X74" s="635"/>
    </row>
    <row r="75" ht="18">
      <c r="A75" s="107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89"/>
      <c r="W75" s="1089"/>
      <c r="X75" s="635"/>
    </row>
    <row r="76" ht="18">
      <c r="A76" s="107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73" t="s">
        <v>347</v>
      </c>
      <c r="I76" s="1073"/>
      <c r="J76" s="107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78"/>
      <c r="B77" s="671" t="s">
        <v>431</v>
      </c>
      <c r="C77" s="671" t="str">
        <f>IF(H68&gt;2,(H68-2)*2,"0")</f>
        <v>0</v>
      </c>
      <c r="D77" s="541">
        <f>0.4*L46/1000</f>
        <v>112.8</v>
      </c>
      <c r="E77" s="541">
        <f t="shared" si="17"/>
        <v>0</v>
      </c>
      <c r="F77" s="654"/>
      <c r="G77" s="654"/>
      <c r="H77" s="674" t="s">
        <v>324</v>
      </c>
      <c r="I77" s="1074" t="s">
        <v>401</v>
      </c>
      <c r="J77" s="107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">
      <c r="A78" s="1078"/>
      <c r="B78" s="671" t="s">
        <v>433</v>
      </c>
      <c r="C78" s="671" t="str">
        <f>IF(H68&gt;2,(H68-2)*H71,"0")</f>
        <v>0</v>
      </c>
      <c r="D78" s="541">
        <f>0.2*L46/1000</f>
        <v>56.4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73" t="str">
        <f>IF(H78="-------","-------",E114)</f>
        <v>4Χ220- 1Χ250</v>
      </c>
      <c r="J78" s="107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15082.65</v>
      </c>
      <c r="X78" s="635"/>
    </row>
    <row r="79" ht="18">
      <c r="A79" s="107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15955.2</v>
      </c>
      <c r="X79" s="635"/>
    </row>
    <row r="80" ht="18">
      <c r="A80" s="107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7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7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7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7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7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7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7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9171.4575</v>
      </c>
      <c r="X87" s="635"/>
    </row>
    <row r="88" ht="18">
      <c r="A88" s="107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70314.5075</v>
      </c>
      <c r="X88" s="635"/>
    </row>
    <row r="89" ht="18">
      <c r="A89" s="107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07"/>
      <c r="T89" s="1007"/>
      <c r="U89" s="1007"/>
      <c r="V89" s="1007"/>
      <c r="W89" s="1007"/>
      <c r="X89" s="635"/>
    </row>
    <row r="90" ht="18">
      <c r="A90" s="107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7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7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7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7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7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7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7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7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7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7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78"/>
      <c r="B101" s="1056" t="str">
        <f>K42</f>
        <v>اسم العميل </v>
      </c>
      <c r="C101" s="1057"/>
      <c r="D101" s="105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7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69">
        <f>L45</f>
        <v>372</v>
      </c>
      <c r="O102" s="1070"/>
      <c r="P102" s="534"/>
      <c r="Q102" s="683"/>
      <c r="R102" s="635"/>
    </row>
    <row r="103" ht="18">
      <c r="A103" s="107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8" t="str">
        <f>L109</f>
        <v>بيج  Ral 1013</v>
      </c>
      <c r="L103" s="1059"/>
      <c r="M103" s="1059"/>
      <c r="N103" s="1059"/>
      <c r="O103" s="1060"/>
      <c r="P103" s="534"/>
      <c r="Q103" s="683"/>
      <c r="R103" s="635"/>
    </row>
    <row r="104" ht="18">
      <c r="A104" s="107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78"/>
      <c r="B105" s="691" t="s">
        <v>337</v>
      </c>
      <c r="C105" s="1061">
        <f>[2]Royal!J47</f>
        <v>0</v>
      </c>
      <c r="D105" s="1062"/>
      <c r="E105" s="1062"/>
      <c r="F105" s="1062"/>
      <c r="G105" s="106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78"/>
      <c r="B106" s="691" t="s">
        <v>338</v>
      </c>
      <c r="C106" s="691"/>
      <c r="D106" s="691"/>
      <c r="E106" s="691"/>
      <c r="F106" s="691"/>
      <c r="G106" s="1055" t="s">
        <v>339</v>
      </c>
      <c r="H106" s="1055"/>
      <c r="I106" s="691"/>
      <c r="J106" s="691"/>
      <c r="K106" s="527"/>
      <c r="L106" s="1000" t="s">
        <v>340</v>
      </c>
      <c r="M106" s="1001"/>
      <c r="N106" s="1002"/>
      <c r="O106" s="527"/>
      <c r="P106" s="527"/>
      <c r="Q106" s="677"/>
      <c r="R106" s="635"/>
    </row>
    <row r="107" ht="18">
      <c r="A107" s="1078"/>
      <c r="B107" s="691" t="s">
        <v>340</v>
      </c>
      <c r="C107" s="691"/>
      <c r="D107" s="691"/>
      <c r="E107" s="691"/>
      <c r="F107" s="691"/>
      <c r="G107" s="1037" t="s">
        <v>341</v>
      </c>
      <c r="H107" s="1038"/>
      <c r="I107" s="1038"/>
      <c r="J107" s="1039"/>
      <c r="K107" s="527"/>
      <c r="L107" s="1040" t="str">
        <f>IF(C139=1,C136,IF(C139=2,C137,G107))</f>
        <v>بيج  Ral 1013</v>
      </c>
      <c r="M107" s="1041"/>
      <c r="N107" s="1042"/>
      <c r="O107" s="527"/>
      <c r="P107" s="527"/>
      <c r="Q107" s="677"/>
      <c r="R107" s="635"/>
    </row>
    <row r="108" ht="18">
      <c r="A108" s="1078"/>
      <c r="B108" s="691" t="s">
        <v>342</v>
      </c>
      <c r="C108" s="691"/>
      <c r="D108" s="691"/>
      <c r="E108" s="691"/>
      <c r="F108" s="691"/>
      <c r="G108" s="1043" t="s">
        <v>343</v>
      </c>
      <c r="H108" s="1024"/>
      <c r="I108" s="1024"/>
      <c r="J108" s="1025"/>
      <c r="K108" s="527"/>
      <c r="L108" s="973" t="s">
        <v>342</v>
      </c>
      <c r="M108" s="974"/>
      <c r="N108" s="975"/>
      <c r="O108" s="527"/>
      <c r="P108" s="527"/>
      <c r="Q108" s="677"/>
      <c r="R108" s="635"/>
    </row>
    <row r="109" ht="18">
      <c r="A109" s="107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44" t="str">
        <f>IF(D142=1,D136,IF(D142=2,D137,IF(D142=3,D138,IF(D142=4,D139,IF(D142=5,D140,G108)))))</f>
        <v>بيج  Ral 1013</v>
      </c>
      <c r="M109" s="1045"/>
      <c r="N109" s="1046"/>
      <c r="O109" s="527"/>
      <c r="P109" s="527"/>
      <c r="Q109" s="677"/>
      <c r="R109" s="635"/>
    </row>
    <row r="110" ht="18">
      <c r="A110" s="107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47" t="s">
        <v>439</v>
      </c>
      <c r="M110" s="1048"/>
      <c r="N110" s="1048"/>
      <c r="O110" s="527"/>
      <c r="P110" s="527"/>
      <c r="Q110" s="677"/>
      <c r="R110" s="635"/>
    </row>
    <row r="111" ht="18">
      <c r="A111" s="107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49" t="str">
        <f>IF(J139=1,"-------",IF(J139=2,J137,J138))</f>
        <v>صونفي </v>
      </c>
      <c r="M111" s="1050"/>
      <c r="N111" s="1051"/>
      <c r="O111" s="527"/>
      <c r="P111" s="527"/>
      <c r="Q111" s="677"/>
      <c r="R111" s="635"/>
    </row>
    <row r="112" ht="18">
      <c r="A112" s="107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49"/>
      <c r="M112" s="1050"/>
      <c r="N112" s="1051"/>
      <c r="O112" s="527"/>
      <c r="P112" s="527"/>
      <c r="Q112" s="677"/>
      <c r="R112" s="635"/>
    </row>
    <row r="113" ht="18">
      <c r="A113" s="107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52" t="str">
        <f>IF('[2]Cutting Ro-1'!Q139=1,"Τηλεχειρισμος",IF('[2]Cutting Ro-1'!Q139=2,"-------","Διακοπτης"))</f>
        <v>Διακοπτης</v>
      </c>
      <c r="M113" s="1053"/>
      <c r="N113" s="1054"/>
      <c r="O113" s="527"/>
      <c r="P113" s="527"/>
      <c r="Q113" s="677"/>
      <c r="R113" s="635"/>
    </row>
    <row r="114" ht="18">
      <c r="A114" s="1078"/>
      <c r="B114" s="691" t="s">
        <v>347</v>
      </c>
      <c r="C114" s="1022" t="s">
        <v>348</v>
      </c>
      <c r="D114" s="1023"/>
      <c r="E114" s="1024" t="s">
        <v>349</v>
      </c>
      <c r="F114" s="102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7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7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7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7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78"/>
      <c r="B119" s="691"/>
      <c r="C119" s="691"/>
      <c r="D119" s="1055" t="s">
        <v>353</v>
      </c>
      <c r="E119" s="1055"/>
      <c r="F119" s="105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78"/>
      <c r="B120" s="1055" t="s">
        <v>355</v>
      </c>
      <c r="C120" s="1055"/>
      <c r="D120" s="105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78"/>
      <c r="B121" s="1022" t="s">
        <v>356</v>
      </c>
      <c r="C121" s="102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78"/>
      <c r="B122" s="1022" t="s">
        <v>357</v>
      </c>
      <c r="C122" s="102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78"/>
      <c r="B123" s="1022" t="s">
        <v>358</v>
      </c>
      <c r="C123" s="102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78"/>
      <c r="B124" s="1022" t="s">
        <v>359</v>
      </c>
      <c r="C124" s="1023"/>
      <c r="D124" s="1024">
        <v>20</v>
      </c>
      <c r="E124" s="1025"/>
      <c r="F124" s="1022" t="s">
        <v>360</v>
      </c>
      <c r="G124" s="1023"/>
      <c r="H124" s="102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78"/>
      <c r="B125" s="1022" t="s">
        <v>361</v>
      </c>
      <c r="C125" s="102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7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7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7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7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7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7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7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7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7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7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26" t="s">
        <v>519</v>
      </c>
      <c r="L135" s="1027"/>
      <c r="M135" s="1027"/>
      <c r="N135" s="1028"/>
      <c r="O135" s="701" t="s">
        <v>520</v>
      </c>
      <c r="P135" s="701" t="s">
        <v>352</v>
      </c>
      <c r="Q135" s="701" t="s">
        <v>521</v>
      </c>
      <c r="R135" s="635"/>
    </row>
    <row r="136">
      <c r="A136" s="107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7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7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7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7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7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7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7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7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7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7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7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7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7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7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7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29" t="s">
        <v>555</v>
      </c>
      <c r="E151" s="1030"/>
      <c r="F151" s="1030"/>
      <c r="G151" s="1031"/>
      <c r="H151" s="705"/>
      <c r="I151" s="705"/>
      <c r="J151" s="1032" t="s">
        <v>556</v>
      </c>
      <c r="K151" s="1033"/>
      <c r="L151" s="1033"/>
      <c r="M151" s="1033"/>
      <c r="N151" s="1033"/>
      <c r="O151" s="1033"/>
      <c r="P151" s="1033"/>
      <c r="Q151" s="1034"/>
      <c r="R151" s="635"/>
    </row>
    <row r="152">
      <c r="A152" s="107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7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35" t="s">
        <v>560</v>
      </c>
      <c r="K153" s="103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7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78"/>
      <c r="B155" s="1032" t="s">
        <v>562</v>
      </c>
      <c r="C155" s="1033"/>
      <c r="D155" s="1033"/>
      <c r="E155" s="1033"/>
      <c r="F155" s="1033"/>
      <c r="G155" s="1033"/>
      <c r="H155" s="1033"/>
      <c r="I155" s="1034"/>
      <c r="J155" s="1032" t="s">
        <v>563</v>
      </c>
      <c r="K155" s="1033"/>
      <c r="L155" s="1033"/>
      <c r="M155" s="1033"/>
      <c r="N155" s="1033"/>
      <c r="O155" s="1033"/>
      <c r="P155" s="1033"/>
      <c r="Q155" s="1034"/>
      <c r="R155" s="635"/>
    </row>
    <row r="156">
      <c r="A156" s="107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78"/>
      <c r="B157" s="1020" t="s">
        <v>560</v>
      </c>
      <c r="C157" s="102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20" t="s">
        <v>560</v>
      </c>
      <c r="K157" s="102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78"/>
      <c r="B158" s="1008" t="s">
        <v>564</v>
      </c>
      <c r="C158" s="1009"/>
      <c r="D158" s="1009"/>
      <c r="E158" s="720"/>
      <c r="F158" s="720"/>
      <c r="G158" s="729"/>
      <c r="H158" s="720"/>
      <c r="I158" s="721"/>
      <c r="J158" s="1008" t="s">
        <v>565</v>
      </c>
      <c r="K158" s="1009"/>
      <c r="L158" s="1009"/>
      <c r="M158" s="720"/>
      <c r="N158" s="720"/>
      <c r="O158" s="729"/>
      <c r="P158" s="720"/>
      <c r="Q158" s="721"/>
      <c r="R158" s="635"/>
    </row>
    <row r="159">
      <c r="A159" s="107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7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7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7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7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7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7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7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7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7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7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7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7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7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7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7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7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7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7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7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7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78"/>
      <c r="B180" s="1010" t="s">
        <v>574</v>
      </c>
      <c r="C180" s="101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78"/>
      <c r="B181" s="1012"/>
      <c r="C181" s="101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78"/>
      <c r="B182" s="1012"/>
      <c r="C182" s="101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78"/>
      <c r="B183" s="1012"/>
      <c r="C183" s="101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78"/>
      <c r="B184" s="1012"/>
      <c r="C184" s="101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78"/>
      <c r="B185" s="1012"/>
      <c r="C185" s="101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78"/>
      <c r="B186" s="1014"/>
      <c r="C186" s="101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7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7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78"/>
      <c r="B189" s="1016" t="s">
        <v>588</v>
      </c>
      <c r="C189" s="101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78"/>
      <c r="B190" s="1012"/>
      <c r="C190" s="101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78"/>
      <c r="B191" s="1012"/>
      <c r="C191" s="101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78"/>
      <c r="B192" s="1012"/>
      <c r="C192" s="101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78"/>
      <c r="B193" s="1012"/>
      <c r="C193" s="101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78"/>
      <c r="B194" s="1012"/>
      <c r="C194" s="101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78"/>
      <c r="B195" s="1014"/>
      <c r="C195" s="101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7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7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78"/>
      <c r="B198" s="1016" t="s">
        <v>590</v>
      </c>
      <c r="C198" s="101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78"/>
      <c r="B199" s="1012"/>
      <c r="C199" s="101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78"/>
      <c r="B200" s="1012"/>
      <c r="C200" s="101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78"/>
      <c r="B201" s="1012"/>
      <c r="C201" s="101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78"/>
      <c r="B202" s="1012"/>
      <c r="C202" s="101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78"/>
      <c r="B203" s="1012"/>
      <c r="C203" s="101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78"/>
      <c r="B204" s="1018"/>
      <c r="C204" s="101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7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7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7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7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7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7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7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7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7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7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78"/>
      <c r="B215" s="762" t="s">
        <v>595</v>
      </c>
      <c r="C215" s="763">
        <f>(((C209-(D125*2))/200)+1)*C214</f>
        <v>6.75</v>
      </c>
      <c r="D215" s="1004" t="s">
        <v>596</v>
      </c>
      <c r="E215" s="100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78"/>
      <c r="B216" s="762" t="s">
        <v>597</v>
      </c>
      <c r="C216" s="763">
        <f>F215/C214</f>
        <v>2.3333333333333335</v>
      </c>
      <c r="D216" s="1004" t="s">
        <v>596</v>
      </c>
      <c r="E216" s="100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7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7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7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7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7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7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7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7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7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7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7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7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7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7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7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7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7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05" t="s">
        <v>602</v>
      </c>
      <c r="J233" s="1005"/>
      <c r="K233" s="1005"/>
      <c r="L233" s="1006"/>
      <c r="M233" s="527"/>
      <c r="N233" s="527"/>
      <c r="O233" s="527"/>
      <c r="P233" s="527"/>
      <c r="Q233" s="677"/>
      <c r="R233" s="635"/>
    </row>
    <row r="234" ht="18">
      <c r="A234" s="107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05"/>
      <c r="J234" s="1005"/>
      <c r="K234" s="1005"/>
      <c r="L234" s="1006"/>
      <c r="M234" s="527"/>
      <c r="N234" s="527"/>
      <c r="O234" s="527"/>
      <c r="P234" s="527"/>
      <c r="Q234" s="677"/>
      <c r="R234" s="635"/>
    </row>
    <row r="235" ht="18">
      <c r="A235" s="107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05"/>
      <c r="J235" s="1005"/>
      <c r="K235" s="1005"/>
      <c r="L235" s="1006"/>
      <c r="M235" s="527"/>
      <c r="N235" s="527"/>
      <c r="O235" s="527"/>
      <c r="P235" s="527"/>
      <c r="Q235" s="677"/>
      <c r="R235" s="635"/>
    </row>
    <row r="236" ht="18">
      <c r="A236" s="107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7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7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7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7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7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05" t="s">
        <v>606</v>
      </c>
      <c r="J241" s="1005"/>
      <c r="K241" s="1005"/>
      <c r="L241" s="1006"/>
      <c r="M241" s="527"/>
      <c r="N241" s="527"/>
      <c r="O241" s="527"/>
      <c r="P241" s="527"/>
      <c r="Q241" s="677"/>
      <c r="R241" s="635"/>
    </row>
    <row r="242" ht="18">
      <c r="A242" s="107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05"/>
      <c r="J242" s="1005"/>
      <c r="K242" s="1005"/>
      <c r="L242" s="1006"/>
      <c r="M242" s="527"/>
      <c r="N242" s="527"/>
      <c r="O242" s="527"/>
      <c r="P242" s="527"/>
      <c r="Q242" s="677"/>
      <c r="R242" s="635"/>
    </row>
    <row r="243" ht="18">
      <c r="A243" s="107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05"/>
      <c r="J243" s="1005"/>
      <c r="K243" s="1005"/>
      <c r="L243" s="1006"/>
      <c r="M243" s="527"/>
      <c r="N243" s="527"/>
      <c r="O243" s="527"/>
      <c r="P243" s="527"/>
      <c r="Q243" s="677"/>
      <c r="R243" s="635"/>
    </row>
    <row r="244" ht="18">
      <c r="A244" s="107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7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07"/>
      <c r="B246" s="1007"/>
      <c r="C246" s="1007"/>
      <c r="D246" s="1007"/>
      <c r="E246" s="1007"/>
      <c r="F246" s="1007"/>
      <c r="G246" s="1007"/>
      <c r="H246" s="1007"/>
      <c r="I246" s="1007"/>
      <c r="J246" s="1007"/>
      <c r="K246" s="1007"/>
      <c r="L246" s="1007"/>
      <c r="M246" s="1007"/>
      <c r="N246" s="1007"/>
      <c r="O246" s="1007"/>
      <c r="P246" s="1007"/>
      <c r="Q246" s="100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2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 (2)'!B9</f>
        <v>3</v>
      </c>
    </row>
    <row r="19" ht="18" customHeight="1">
      <c r="A19" s="899" t="s">
        <v>357</v>
      </c>
      <c r="B19" s="900"/>
      <c r="C19" s="14">
        <f>'Format Φωτισμου (2)'!B12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607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292000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تسجيل2!C7</f>
        <v>400</v>
      </c>
      <c r="L6" s="92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 (2)'!F8</f>
        <v>365</v>
      </c>
      <c r="J11" s="941"/>
      <c r="K11" s="106"/>
      <c r="L11" s="936">
        <f>IF((تسعير!U31=Sheet2!A6),2,IF(Format!A7=1,تسجيل2!H27,IF(Format!A7=2,تسجيل2!H27,IF(Format!A7=3,تسجيل2!H27,IF(Format!A7=4,تسجيل2!H27,IF(Format!A7=5,تسجيل2!H27,"-------"))))))</f>
        <v>2</v>
      </c>
      <c r="M11" s="936"/>
      <c r="N11" s="93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(G12+G13)/2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IF(Format!E7=1,"-------",IF(Format!E7=5,"-------",تسجيل2!H30))</f>
        <v>2</v>
      </c>
      <c r="M21" s="947" t="str">
        <f>IF(L21="-------","-------",تسجيل2!D11)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18356.1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46515.205284144329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1"/>
      <c r="B3" s="111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17"/>
      <c r="B12" s="111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23"/>
      <c r="B21" s="112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AE15" zoomScale="40" zoomScaleNormal="40" zoomScaleSheetLayoutView="70" zoomScalePageLayoutView="25" workbookViewId="0">
      <selection activeCell="AK28" sqref="AK28:AK29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54"/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49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7"/>
      <c r="BG1" s="827"/>
      <c r="BH1" s="827"/>
      <c r="BI1" s="827"/>
      <c r="BJ1" s="827"/>
      <c r="BK1" s="827"/>
      <c r="BL1" s="827"/>
      <c r="BM1" s="827"/>
      <c r="BN1" s="827"/>
    </row>
    <row r="2" ht="4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49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9" t="s">
        <v>649</v>
      </c>
      <c r="AG2" s="82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6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27"/>
      <c r="BG2" s="827"/>
      <c r="BH2" s="827"/>
      <c r="BI2" s="827"/>
      <c r="BJ2" s="827"/>
      <c r="BK2" s="827"/>
      <c r="BL2" s="827"/>
      <c r="BM2" s="827"/>
      <c r="BN2" s="827"/>
    </row>
    <row r="3" ht="54.75" customHeigh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49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9"/>
      <c r="AG3" s="826"/>
      <c r="AH3" s="82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27"/>
      <c r="BG3" s="827"/>
      <c r="BH3" s="827"/>
      <c r="BI3" s="827"/>
      <c r="BJ3" s="827"/>
      <c r="BK3" s="827"/>
      <c r="BL3" s="827"/>
      <c r="BM3" s="827"/>
      <c r="BN3" s="827"/>
    </row>
    <row r="4" ht="55.5" customHeight="1">
      <c r="A4" s="854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49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9"/>
      <c r="AG4" s="826"/>
      <c r="AH4" s="82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8"/>
      <c r="BG4" s="829"/>
      <c r="BH4" s="829"/>
      <c r="BI4" s="829"/>
      <c r="BJ4" s="829"/>
      <c r="BK4" s="829"/>
      <c r="BL4" s="829"/>
      <c r="BM4" s="829"/>
      <c r="BN4" s="825"/>
    </row>
    <row r="5" ht="55.5" customHeight="1">
      <c r="A5" s="854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49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8"/>
      <c r="BG5" s="829"/>
      <c r="BH5" s="829"/>
      <c r="BI5" s="829"/>
      <c r="BJ5" s="829"/>
      <c r="BK5" s="829"/>
      <c r="BL5" s="829"/>
      <c r="BM5" s="829"/>
      <c r="BN5" s="825"/>
      <c r="BT5" s="0">
        <v>0</v>
      </c>
    </row>
    <row r="6" ht="55.5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49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32" t="s">
        <v>656</v>
      </c>
      <c r="AP6" s="833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25"/>
    </row>
    <row r="7" ht="18.75" customHeight="1">
      <c r="A7" s="854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49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5"/>
    </row>
    <row r="8" ht="55.5" customHeight="1">
      <c r="A8" s="407"/>
      <c r="B8" s="861"/>
      <c r="C8" s="861"/>
      <c r="D8" s="861"/>
      <c r="E8" s="407"/>
      <c r="F8" s="863"/>
      <c r="G8" s="863"/>
      <c r="H8" s="863"/>
      <c r="I8" s="854"/>
      <c r="J8" s="860"/>
      <c r="K8" s="860"/>
      <c r="L8" s="860"/>
      <c r="M8" s="854"/>
      <c r="N8" s="862"/>
      <c r="O8" s="862"/>
      <c r="P8" s="862"/>
      <c r="Q8" s="407"/>
      <c r="R8" s="849"/>
      <c r="S8" s="864"/>
      <c r="T8" s="86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34"/>
      <c r="AP8" s="835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5"/>
    </row>
    <row r="9" ht="55.5" customHeight="1">
      <c r="A9" s="407"/>
      <c r="B9" s="861"/>
      <c r="C9" s="861"/>
      <c r="D9" s="861"/>
      <c r="E9" s="407"/>
      <c r="F9" s="863"/>
      <c r="G9" s="863"/>
      <c r="H9" s="863"/>
      <c r="I9" s="854"/>
      <c r="J9" s="860"/>
      <c r="K9" s="860"/>
      <c r="L9" s="860"/>
      <c r="M9" s="854"/>
      <c r="N9" s="862"/>
      <c r="O9" s="862"/>
      <c r="P9" s="862"/>
      <c r="Q9" s="407"/>
      <c r="R9" s="849"/>
      <c r="S9" s="865"/>
      <c r="T9" s="86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5"/>
    </row>
    <row r="10" ht="55.5" customHeight="1">
      <c r="A10" s="407"/>
      <c r="B10" s="861"/>
      <c r="C10" s="861"/>
      <c r="D10" s="861"/>
      <c r="E10" s="407"/>
      <c r="F10" s="863"/>
      <c r="G10" s="863"/>
      <c r="H10" s="863"/>
      <c r="I10" s="854"/>
      <c r="J10" s="860"/>
      <c r="K10" s="860"/>
      <c r="L10" s="860"/>
      <c r="M10" s="854"/>
      <c r="N10" s="862"/>
      <c r="O10" s="862"/>
      <c r="P10" s="862"/>
      <c r="Q10" s="407"/>
      <c r="R10" s="849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6" t="s">
        <v>659</v>
      </c>
      <c r="AF10" s="836"/>
      <c r="AG10" s="836"/>
      <c r="AH10" s="836"/>
      <c r="AI10" s="836"/>
      <c r="AJ10" s="836"/>
      <c r="AK10" s="836"/>
      <c r="AL10" s="836"/>
      <c r="AM10" s="836"/>
      <c r="AN10" s="836"/>
      <c r="AO10" s="836"/>
      <c r="AP10" s="836"/>
      <c r="AQ10" s="836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5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5"/>
    </row>
    <row r="12" ht="42" customHeight="1" s="405" customFormat="1">
      <c r="A12" s="407"/>
      <c r="B12" s="860"/>
      <c r="C12" s="860"/>
      <c r="D12" s="860"/>
      <c r="E12" s="407"/>
      <c r="F12" s="867"/>
      <c r="G12" s="867"/>
      <c r="H12" s="867"/>
      <c r="I12" s="854"/>
      <c r="J12" s="860"/>
      <c r="K12" s="860"/>
      <c r="L12" s="860"/>
      <c r="M12" s="854"/>
      <c r="N12" s="866"/>
      <c r="O12" s="866"/>
      <c r="P12" s="866"/>
      <c r="Q12" s="407"/>
      <c r="R12" s="849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5"/>
    </row>
    <row r="13" ht="55.5" customHeight="1" s="405" customFormat="1">
      <c r="A13" s="407"/>
      <c r="B13" s="860"/>
      <c r="C13" s="860"/>
      <c r="D13" s="860"/>
      <c r="E13" s="407"/>
      <c r="F13" s="867"/>
      <c r="G13" s="867"/>
      <c r="H13" s="867"/>
      <c r="I13" s="854"/>
      <c r="J13" s="860"/>
      <c r="K13" s="860"/>
      <c r="L13" s="860"/>
      <c r="M13" s="854"/>
      <c r="N13" s="866"/>
      <c r="O13" s="866"/>
      <c r="P13" s="866"/>
      <c r="Q13" s="407"/>
      <c r="R13" s="849"/>
      <c r="S13" s="523" t="s">
        <v>661</v>
      </c>
      <c r="T13" s="487"/>
      <c r="AC13" s="407"/>
      <c r="AD13" s="629"/>
      <c r="AE13" s="407"/>
      <c r="AF13" s="838" t="s">
        <v>649</v>
      </c>
      <c r="AG13" s="83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17819.892</v>
      </c>
      <c r="AH13" s="837"/>
      <c r="AI13" s="414"/>
      <c r="AJ13" s="414"/>
      <c r="AK13" s="414"/>
      <c r="AL13" s="850" t="s">
        <v>662</v>
      </c>
      <c r="AM13" s="850"/>
      <c r="AN13" s="850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5"/>
    </row>
    <row r="14" ht="55.5" customHeight="1" s="405" customFormat="1">
      <c r="A14" s="407"/>
      <c r="B14" s="860"/>
      <c r="C14" s="860"/>
      <c r="D14" s="860"/>
      <c r="E14" s="407"/>
      <c r="F14" s="867"/>
      <c r="G14" s="867"/>
      <c r="H14" s="867"/>
      <c r="I14" s="854"/>
      <c r="J14" s="860"/>
      <c r="K14" s="860"/>
      <c r="L14" s="860"/>
      <c r="M14" s="854"/>
      <c r="N14" s="866"/>
      <c r="O14" s="866"/>
      <c r="P14" s="866"/>
      <c r="Q14" s="407"/>
      <c r="R14" s="849"/>
      <c r="S14" s="524" t="s">
        <v>664</v>
      </c>
      <c r="T14" s="522"/>
      <c r="U14" s="488" t="s">
        <v>617</v>
      </c>
      <c r="V14" s="830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1"/>
      <c r="X14" s="831"/>
      <c r="Y14" s="831"/>
      <c r="Z14" s="831"/>
      <c r="AA14" s="831"/>
      <c r="AB14" s="831"/>
      <c r="AC14" s="831"/>
      <c r="AD14" s="629"/>
      <c r="AE14" s="407"/>
      <c r="AF14" s="838"/>
      <c r="AG14" s="837"/>
      <c r="AH14" s="837"/>
      <c r="AI14" s="407"/>
      <c r="AJ14" s="407"/>
      <c r="AK14" s="407"/>
      <c r="AL14" s="850"/>
      <c r="AM14" s="850"/>
      <c r="AN14" s="850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30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1"/>
      <c r="AX14" s="831"/>
      <c r="AY14" s="831"/>
      <c r="AZ14" s="831"/>
      <c r="BA14" s="831"/>
      <c r="BB14" s="831"/>
      <c r="BC14" s="406"/>
      <c r="BD14" s="483" t="s">
        <v>664</v>
      </c>
      <c r="BE14" s="483"/>
      <c r="BF14" s="488" t="s">
        <v>614</v>
      </c>
      <c r="BG14" s="830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1"/>
      <c r="BI14" s="831"/>
      <c r="BJ14" s="831"/>
      <c r="BK14" s="831"/>
      <c r="BL14" s="831"/>
      <c r="BM14" s="831"/>
      <c r="BN14" s="528"/>
    </row>
    <row r="15" ht="18.75" customHeight="1" s="405" customFormat="1">
      <c r="A15" s="407"/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407"/>
      <c r="R15" s="84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4"/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4"/>
      <c r="R16" s="84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4"/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4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4"/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4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4"/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4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4"/>
      <c r="B20" s="854"/>
      <c r="C20" s="854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4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36" t="s">
        <v>666</v>
      </c>
      <c r="AF20" s="836"/>
      <c r="AG20" s="836"/>
      <c r="AH20" s="836"/>
      <c r="AI20" s="836"/>
      <c r="AJ20" s="836"/>
      <c r="AK20" s="836"/>
      <c r="AL20" s="836"/>
      <c r="AM20" s="836"/>
      <c r="AN20" s="836"/>
      <c r="AO20" s="836"/>
      <c r="AP20" s="836"/>
      <c r="AQ20" s="836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3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49"/>
      <c r="S21" s="847" t="s">
        <v>667</v>
      </c>
      <c r="T21" s="84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36"/>
      <c r="AF21" s="836"/>
      <c r="AG21" s="836"/>
      <c r="AH21" s="836"/>
      <c r="AI21" s="836"/>
      <c r="AJ21" s="836"/>
      <c r="AK21" s="836"/>
      <c r="AL21" s="836"/>
      <c r="AM21" s="836"/>
      <c r="AN21" s="836"/>
      <c r="AO21" s="836"/>
      <c r="AP21" s="836"/>
      <c r="AQ21" s="836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53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49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3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49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9" t="s">
        <v>649</v>
      </c>
      <c r="AF23" s="799"/>
      <c r="AG23" s="800" t="b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0</v>
      </c>
      <c r="AH23" s="80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3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49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9"/>
      <c r="AF24" s="799"/>
      <c r="AG24" s="800"/>
      <c r="AH24" s="80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53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49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53"/>
      <c r="B26" s="853"/>
      <c r="C26" s="853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49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01" t="s">
        <v>670</v>
      </c>
      <c r="AG26" s="801" t="s">
        <v>651</v>
      </c>
      <c r="AH26" s="803" t="s">
        <v>200</v>
      </c>
      <c r="AI26" s="801" t="s">
        <v>295</v>
      </c>
      <c r="AJ26" s="801" t="s">
        <v>654</v>
      </c>
      <c r="AK26" s="801" t="s">
        <v>655</v>
      </c>
      <c r="AL26" s="820" t="s">
        <v>656</v>
      </c>
      <c r="AM26" s="820"/>
      <c r="AN26" s="801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53"/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4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02"/>
      <c r="AG27" s="802"/>
      <c r="AH27" s="804"/>
      <c r="AI27" s="802"/>
      <c r="AJ27" s="802"/>
      <c r="AK27" s="802"/>
      <c r="AL27" s="821"/>
      <c r="AM27" s="821"/>
      <c r="AN27" s="802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3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4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22" t="s">
        <v>672</v>
      </c>
      <c r="AG28" s="822" t="s">
        <v>260</v>
      </c>
      <c r="AH28" s="822" t="s">
        <v>215</v>
      </c>
      <c r="AI28" s="822" t="s">
        <v>234</v>
      </c>
      <c r="AJ28" s="822" t="s">
        <v>216</v>
      </c>
      <c r="AK28" s="822" t="s">
        <v>257</v>
      </c>
      <c r="AL28" s="855" t="s">
        <v>673</v>
      </c>
      <c r="AM28" s="855"/>
      <c r="AN28" s="822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3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4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23"/>
      <c r="AG29" s="823"/>
      <c r="AH29" s="823"/>
      <c r="AI29" s="823"/>
      <c r="AJ29" s="823"/>
      <c r="AK29" s="823"/>
      <c r="AL29" s="856"/>
      <c r="AM29" s="856"/>
      <c r="AN29" s="82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53"/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49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53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49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4" t="s">
        <v>676</v>
      </c>
      <c r="AF31" s="824"/>
      <c r="AG31" s="824"/>
      <c r="AH31" s="824"/>
      <c r="AI31" s="824"/>
      <c r="AJ31" s="824"/>
      <c r="AK31" s="824"/>
      <c r="AL31" s="824"/>
      <c r="AM31" s="824"/>
      <c r="AN31" s="824"/>
      <c r="AO31" s="824"/>
      <c r="AP31" s="824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3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49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1150" t="s">
        <v>677</v>
      </c>
      <c r="AG32" s="1151" t="s">
        <v>678</v>
      </c>
      <c r="AH32" s="115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3*3 متر</v>
      </c>
      <c r="AI32" s="454"/>
      <c r="AJ32" s="454"/>
      <c r="AK32" s="454"/>
      <c r="AL32" s="115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CHEAK NOTES 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53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49"/>
      <c r="S33" s="432" t="s">
        <v>661</v>
      </c>
      <c r="T33" s="446"/>
      <c r="U33" s="445"/>
      <c r="V33" s="858"/>
      <c r="W33" s="858"/>
      <c r="X33" s="447"/>
      <c r="Y33" s="445"/>
      <c r="Z33" s="445"/>
      <c r="AA33" s="444">
        <v>400</v>
      </c>
      <c r="AB33" s="445"/>
      <c r="AC33" s="445"/>
      <c r="AD33" s="1131"/>
      <c r="AE33" s="1132"/>
      <c r="AF33" s="1150" t="s">
        <v>679</v>
      </c>
      <c r="AG33" s="1151" t="s">
        <v>680</v>
      </c>
      <c r="AH33" s="115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1133"/>
      <c r="AJ33" s="1133"/>
      <c r="AK33" s="1131"/>
      <c r="AL33" s="1131"/>
      <c r="AM33" s="1131"/>
      <c r="AN33" s="1131"/>
      <c r="AO33" s="1131"/>
      <c r="AP33" s="1131"/>
      <c r="AQ33" s="1131"/>
      <c r="AR33" s="1131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53"/>
      <c r="B34" s="853"/>
      <c r="C34" s="853"/>
      <c r="D34" s="853"/>
      <c r="E34" s="853"/>
      <c r="F34" s="853"/>
      <c r="G34" s="853"/>
      <c r="H34" s="853"/>
      <c r="I34" s="853"/>
      <c r="J34" s="853"/>
      <c r="K34" s="853"/>
      <c r="L34" s="853"/>
      <c r="M34" s="853"/>
      <c r="N34" s="853"/>
      <c r="O34" s="853"/>
      <c r="P34" s="853"/>
      <c r="Q34" s="853"/>
      <c r="R34" s="849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1131"/>
      <c r="AE34" s="1132"/>
      <c r="AF34" s="1150" t="s">
        <v>681</v>
      </c>
      <c r="AG34" s="1151" t="s">
        <v>682</v>
      </c>
      <c r="AH34" s="115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1134"/>
      <c r="AJ34" s="1134"/>
      <c r="AK34" s="1134"/>
      <c r="AL34" s="1131"/>
      <c r="AM34" s="1131"/>
      <c r="AN34" s="1131"/>
      <c r="AO34" s="1131"/>
      <c r="AP34" s="1131"/>
      <c r="AQ34" s="1131"/>
      <c r="AR34" s="1131"/>
      <c r="AS34" s="422" t="s">
        <v>664</v>
      </c>
      <c r="AT34" s="430">
        <v>500</v>
      </c>
      <c r="AU34" s="477"/>
      <c r="AZ34" s="839"/>
      <c r="BA34" s="839"/>
      <c r="BB34" s="839"/>
      <c r="BD34" s="430" t="s">
        <v>664</v>
      </c>
      <c r="BE34" s="430">
        <v>500</v>
      </c>
      <c r="BF34" s="477"/>
      <c r="BK34" s="839"/>
      <c r="BL34" s="839"/>
      <c r="BM34" s="839"/>
      <c r="BN34" s="407"/>
    </row>
    <row r="35" ht="41.25" customHeight="1">
      <c r="A35" s="853"/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49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1131"/>
      <c r="AE35" s="1132"/>
      <c r="AF35" s="1150" t="s">
        <v>683</v>
      </c>
      <c r="AG35" s="1151"/>
      <c r="AH35" s="1135"/>
      <c r="AI35" s="1134"/>
      <c r="AJ35" s="1134"/>
      <c r="AK35" s="1134"/>
      <c r="AL35" s="1131"/>
      <c r="AM35" s="1131"/>
      <c r="AN35" s="1131"/>
      <c r="AO35" s="1131"/>
      <c r="AP35" s="1131"/>
      <c r="AQ35" s="1131"/>
      <c r="AR35" s="1131"/>
      <c r="AS35" s="407"/>
      <c r="AT35" s="407"/>
      <c r="BD35" s="407"/>
      <c r="BE35" s="407"/>
      <c r="BN35" s="407"/>
    </row>
    <row r="36" ht="41.25" customHeight="1">
      <c r="A36" s="853"/>
      <c r="B36" s="853"/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49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D36" s="1131"/>
      <c r="AE36" s="1136"/>
      <c r="AF36" s="1136"/>
      <c r="AG36" s="1137"/>
      <c r="AH36" s="1138"/>
      <c r="AI36" s="1137"/>
      <c r="AJ36" s="1137"/>
      <c r="AK36" s="1137"/>
      <c r="AL36" s="1137"/>
      <c r="AM36" s="1139"/>
      <c r="AN36" s="1131"/>
      <c r="AO36" s="1131"/>
      <c r="AP36" s="1131"/>
      <c r="AQ36" s="1131"/>
      <c r="AR36" s="113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49"/>
      <c r="S37" s="407"/>
      <c r="T37" s="407"/>
      <c r="U37" s="8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57"/>
      <c r="W37" s="857"/>
      <c r="X37" s="857"/>
      <c r="Y37" s="857"/>
      <c r="Z37" s="857"/>
      <c r="AA37" s="857"/>
      <c r="AB37" s="857"/>
      <c r="AC37" s="857"/>
      <c r="AD37" s="1131"/>
      <c r="AE37" s="1131"/>
      <c r="AF37" s="1131"/>
      <c r="AG37" s="1137"/>
      <c r="AH37" s="1138"/>
      <c r="AI37" s="1137"/>
      <c r="AJ37" s="1137"/>
      <c r="AK37" s="1137"/>
      <c r="AL37" s="1137"/>
      <c r="AM37" s="1139"/>
      <c r="AN37" s="1131"/>
      <c r="AO37" s="1131"/>
      <c r="AP37" s="1131"/>
      <c r="AQ37" s="1131"/>
      <c r="AR37" s="1131"/>
      <c r="AS37" s="1129">
        <f>('بيرسا و لوفرز'!F24+'بيرسا و لوفرز'!V55+'بيرسا و لوفرز'!V63)*1.35</f>
        <v>250129.62000000002</v>
      </c>
      <c r="AT37" s="843"/>
      <c r="BD37" s="842">
        <f>('بيرسا و لوفرز'!F97+'بيرسا و لوفرز'!V126+'بيرسا و لوفرز'!V134)*1.35</f>
        <v>228605.22000000003</v>
      </c>
      <c r="BE37" s="843"/>
      <c r="BN37" s="407"/>
    </row>
    <row r="38" ht="41.25" customHeight="1">
      <c r="A38" s="854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4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1131"/>
      <c r="AE38" s="1131"/>
      <c r="AF38" s="1131"/>
      <c r="AG38" s="1140"/>
      <c r="AH38" s="1140"/>
      <c r="AI38" s="1140"/>
      <c r="AJ38" s="1140"/>
      <c r="AK38" s="1141"/>
      <c r="AL38" s="1140"/>
      <c r="AM38" s="1142"/>
      <c r="AN38" s="1131"/>
      <c r="AO38" s="1131"/>
      <c r="AP38" s="1131"/>
      <c r="AQ38" s="1131"/>
      <c r="AR38" s="1131"/>
      <c r="AS38" s="1129">
        <f>AS37/(AT34*AT33/10000)</f>
        <v>12506.481000000002</v>
      </c>
      <c r="AT38" s="843"/>
      <c r="BD38" s="842">
        <f>BD37/(BE33*BE34/10000)</f>
        <v>11430.261000000002</v>
      </c>
      <c r="BE38" s="843"/>
      <c r="BK38" s="484">
        <f>BE33</f>
        <v>400</v>
      </c>
      <c r="BN38" s="407"/>
    </row>
    <row r="39" ht="41.25" customHeight="1">
      <c r="A39" s="854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49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1131"/>
      <c r="AE39" s="1131"/>
      <c r="AF39" s="1131"/>
      <c r="AG39" s="1140"/>
      <c r="AH39" s="1140"/>
      <c r="AI39" s="1140"/>
      <c r="AJ39" s="1140"/>
      <c r="AK39" s="1141"/>
      <c r="AL39" s="1140"/>
      <c r="AM39" s="1142"/>
      <c r="AN39" s="1131"/>
      <c r="AO39" s="1131"/>
      <c r="AP39" s="1131"/>
      <c r="AQ39" s="1131"/>
      <c r="AR39" s="1131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4"/>
      <c r="B40" s="854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49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1131"/>
      <c r="AE40" s="1131"/>
      <c r="AF40" s="1131"/>
      <c r="AG40" s="1136"/>
      <c r="AH40" s="1136"/>
      <c r="AI40" s="1143"/>
      <c r="AJ40" s="1143"/>
      <c r="AK40" s="1136"/>
      <c r="AL40" s="1131"/>
      <c r="AM40" s="1131"/>
      <c r="AN40" s="1131"/>
      <c r="AO40" s="1131"/>
      <c r="AP40" s="1131"/>
      <c r="AQ40" s="1131"/>
      <c r="AR40" s="1131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4"/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49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1131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31"/>
      <c r="AR41" s="1131"/>
      <c r="AS41" s="844" t="s">
        <v>685</v>
      </c>
      <c r="AT41" s="844"/>
      <c r="AU41" s="844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54"/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49"/>
      <c r="S42" s="847" t="s">
        <v>687</v>
      </c>
      <c r="T42" s="848"/>
      <c r="U42" s="449"/>
      <c r="V42" s="449"/>
      <c r="W42" s="449"/>
      <c r="X42" s="449"/>
      <c r="Y42" s="449"/>
      <c r="Z42" s="449"/>
      <c r="AA42" s="449"/>
      <c r="AB42" s="449"/>
      <c r="AC42" s="449"/>
      <c r="AD42" s="1131"/>
      <c r="AE42" s="1131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31"/>
      <c r="AR42" s="1131"/>
      <c r="AS42" s="1130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53" t="s">
        <v>688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49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3"/>
      <c r="B44" s="853"/>
      <c r="C44" s="853"/>
      <c r="D44" s="853"/>
      <c r="E44" s="853"/>
      <c r="F44" s="853"/>
      <c r="G44" s="853"/>
      <c r="H44" s="853"/>
      <c r="I44" s="853"/>
      <c r="J44" s="853"/>
      <c r="K44" s="853"/>
      <c r="L44" s="853"/>
      <c r="M44" s="853"/>
      <c r="N44" s="853"/>
      <c r="O44" s="853"/>
      <c r="P44" s="853"/>
      <c r="Q44" s="853"/>
      <c r="R44" s="849"/>
      <c r="S44" s="436" t="s">
        <v>127</v>
      </c>
      <c r="T44" s="435">
        <f>T43/T51</f>
        <v>4128.28</v>
      </c>
      <c r="U44" s="449"/>
      <c r="V44" s="449"/>
      <c r="W44" s="449"/>
      <c r="X44" s="449"/>
      <c r="Y44" s="852"/>
      <c r="Z44" s="852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53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3"/>
      <c r="M45" s="853"/>
      <c r="N45" s="853"/>
      <c r="O45" s="853"/>
      <c r="P45" s="853"/>
      <c r="Q45" s="853"/>
      <c r="R45" s="849"/>
      <c r="S45" s="432" t="s">
        <v>650</v>
      </c>
      <c r="T45" s="433" t="s">
        <v>21</v>
      </c>
      <c r="U45" s="449"/>
      <c r="V45" s="449"/>
      <c r="W45" s="449"/>
      <c r="X45" s="449"/>
      <c r="Y45" s="852"/>
      <c r="Z45" s="852"/>
      <c r="AA45" s="449"/>
      <c r="AB45" s="449"/>
      <c r="AC45" s="449"/>
      <c r="AD45" s="626"/>
      <c r="AE45" s="454"/>
      <c r="AF45" s="859" t="s">
        <v>689</v>
      </c>
      <c r="AG45" s="859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53"/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49"/>
      <c r="S46" s="437" t="s">
        <v>609</v>
      </c>
      <c r="T46" s="438" t="s">
        <v>616</v>
      </c>
      <c r="U46" s="449"/>
      <c r="V46" s="449"/>
      <c r="W46" s="449"/>
      <c r="X46" s="449"/>
      <c r="Y46" s="852"/>
      <c r="Z46" s="852"/>
      <c r="AA46" s="449"/>
      <c r="AB46" s="449"/>
      <c r="AC46" s="449"/>
      <c r="AD46" s="626"/>
      <c r="AE46" s="454"/>
      <c r="AF46" s="859"/>
      <c r="AG46" s="859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87893.134375000009</v>
      </c>
      <c r="AN46" s="788">
        <f>AM46/(Table115[[#This Row],[العرض]]*Table115[[#This Row],[الامتداد]]/10000)</f>
        <v>6278.081026785715</v>
      </c>
      <c r="AO46" s="806" t="s">
        <v>662</v>
      </c>
      <c r="AP46" s="806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53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49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9"/>
      <c r="AG47" s="859"/>
      <c r="AO47" s="806"/>
      <c r="AP47" s="806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3"/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  <c r="O48" s="853"/>
      <c r="P48" s="853"/>
      <c r="Q48" s="853"/>
      <c r="R48" s="849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0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08"/>
      <c r="AJ48" s="808"/>
      <c r="AK48" s="808"/>
      <c r="AL48" s="809"/>
      <c r="AM48" s="810" t="str">
        <f>Table115[المنتج]</f>
        <v>MESH</v>
      </c>
      <c r="AN48" s="811"/>
      <c r="AO48" s="806"/>
      <c r="AP48" s="806"/>
      <c r="AQ48" s="454"/>
      <c r="AR48" s="626"/>
      <c r="AS48" s="431"/>
      <c r="AT48" s="431"/>
      <c r="BD48" s="431"/>
      <c r="BE48" s="431"/>
      <c r="BN48" s="407"/>
    </row>
    <row r="49" ht="42" customHeight="1">
      <c r="A49" s="853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853"/>
      <c r="P49" s="853"/>
      <c r="Q49" s="853"/>
      <c r="R49" s="849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12" t="s">
        <v>693</v>
      </c>
      <c r="AI49" s="812"/>
      <c r="AJ49" s="812"/>
      <c r="AK49" s="812"/>
      <c r="AL49" s="813"/>
      <c r="AM49" s="81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15"/>
      <c r="AO49" s="807"/>
      <c r="AP49" s="807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53"/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853"/>
      <c r="M50" s="853"/>
      <c r="N50" s="853"/>
      <c r="O50" s="853"/>
      <c r="P50" s="853"/>
      <c r="Q50" s="853"/>
      <c r="R50" s="849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12" t="s">
        <v>694</v>
      </c>
      <c r="AI50" s="812"/>
      <c r="AJ50" s="812"/>
      <c r="AK50" s="812"/>
      <c r="AL50" s="813"/>
      <c r="AM50" s="814"/>
      <c r="AN50" s="815"/>
      <c r="AO50" s="805"/>
      <c r="AP50" s="805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53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49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18" t="s">
        <v>696</v>
      </c>
      <c r="AI51" s="818"/>
      <c r="AJ51" s="818"/>
      <c r="AK51" s="818"/>
      <c r="AL51" s="819"/>
      <c r="AM51" s="816"/>
      <c r="AN51" s="817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3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49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53"/>
      <c r="B53" s="853"/>
      <c r="C53" s="853"/>
      <c r="D53" s="853"/>
      <c r="E53" s="853"/>
      <c r="F53" s="853"/>
      <c r="G53" s="853"/>
      <c r="H53" s="853"/>
      <c r="I53" s="853"/>
      <c r="J53" s="853"/>
      <c r="K53" s="853"/>
      <c r="L53" s="853"/>
      <c r="M53" s="853"/>
      <c r="N53" s="853"/>
      <c r="O53" s="853"/>
      <c r="P53" s="853"/>
      <c r="Q53" s="853"/>
      <c r="R53" s="849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53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49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9"/>
      <c r="BA54" s="839"/>
      <c r="BB54" s="839"/>
      <c r="BD54" s="430" t="s">
        <v>664</v>
      </c>
      <c r="BE54" s="430">
        <v>400</v>
      </c>
      <c r="BF54" s="477"/>
      <c r="BK54" s="839"/>
      <c r="BL54" s="839"/>
      <c r="BM54" s="839"/>
      <c r="BN54" s="407"/>
    </row>
    <row r="55" ht="42" customHeigh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49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53"/>
      <c r="B56" s="853"/>
      <c r="C56" s="853"/>
      <c r="D56" s="853"/>
      <c r="E56" s="853"/>
      <c r="F56" s="853"/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49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53"/>
      <c r="B57" s="853"/>
      <c r="C57" s="853"/>
      <c r="D57" s="853"/>
      <c r="E57" s="853"/>
      <c r="F57" s="853"/>
      <c r="G57" s="853"/>
      <c r="H57" s="853"/>
      <c r="I57" s="853"/>
      <c r="J57" s="853"/>
      <c r="K57" s="853"/>
      <c r="L57" s="853"/>
      <c r="M57" s="853"/>
      <c r="N57" s="853"/>
      <c r="O57" s="853"/>
      <c r="P57" s="853"/>
      <c r="Q57" s="853"/>
      <c r="R57" s="849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40">
        <f>('بيرسا و لوفرز'!BA14+'بيرسا و لوفرز'!BP62+'بيرسا و لوفرز'!BQ54)*1.35</f>
        <v>151084.845</v>
      </c>
      <c r="AT57" s="841"/>
      <c r="BD57" s="840">
        <f>('بيرسا و لوفرز'!BA85+'بيرسا و لوفرز'!BP133+'بيرسا و لوفرز'!BQ125)*1.35</f>
        <v>151084.845</v>
      </c>
      <c r="BE57" s="841"/>
      <c r="BN57" s="407"/>
    </row>
    <row r="58" ht="42" customHeight="1">
      <c r="A58" s="853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49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5">
        <f>AS57/(AT53*AT54/10000)</f>
        <v>7554.24225</v>
      </c>
      <c r="AT58" s="846"/>
      <c r="BD58" s="845">
        <f>BD57/(BE53*BE54/10000)</f>
        <v>7554.24225</v>
      </c>
      <c r="BE58" s="846"/>
      <c r="BN58" s="407"/>
    </row>
    <row r="59" ht="75" customHeight="1">
      <c r="A59" s="853"/>
      <c r="B59" s="853"/>
      <c r="C59" s="853"/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4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53" t="s">
        <v>698</v>
      </c>
      <c r="B60" s="853"/>
      <c r="C60" s="853"/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49"/>
      <c r="S60" s="847" t="s">
        <v>687</v>
      </c>
      <c r="T60" s="84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53"/>
      <c r="B61" s="853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49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53"/>
      <c r="B62" s="853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49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2"/>
      <c r="Z62" s="852"/>
      <c r="AA62" s="449"/>
      <c r="AB62" s="449"/>
      <c r="AC62" s="449"/>
      <c r="AQ62" s="406"/>
      <c r="BN62" s="407"/>
    </row>
    <row r="63" ht="28.8">
      <c r="A63" s="853"/>
      <c r="B63" s="853"/>
      <c r="C63" s="853"/>
      <c r="D63" s="853"/>
      <c r="E63" s="853"/>
      <c r="F63" s="853"/>
      <c r="G63" s="853"/>
      <c r="H63" s="853"/>
      <c r="I63" s="853"/>
      <c r="J63" s="853"/>
      <c r="K63" s="853"/>
      <c r="L63" s="853"/>
      <c r="M63" s="853"/>
      <c r="N63" s="853"/>
      <c r="O63" s="853"/>
      <c r="P63" s="853"/>
      <c r="Q63" s="853"/>
      <c r="R63" s="849"/>
      <c r="S63" s="432" t="s">
        <v>650</v>
      </c>
      <c r="T63" s="433" t="s">
        <v>21</v>
      </c>
      <c r="U63" s="449"/>
      <c r="V63" s="449"/>
      <c r="W63" s="449"/>
      <c r="X63" s="449"/>
      <c r="Y63" s="852"/>
      <c r="Z63" s="852"/>
      <c r="AA63" s="449"/>
      <c r="AB63" s="449"/>
      <c r="AC63" s="449"/>
      <c r="AQ63" s="406"/>
      <c r="BN63" s="407"/>
    </row>
    <row r="64" ht="28.8">
      <c r="A64" s="853"/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  <c r="N64" s="853"/>
      <c r="O64" s="853"/>
      <c r="P64" s="853"/>
      <c r="Q64" s="853"/>
      <c r="R64" s="849"/>
      <c r="S64" s="437" t="s">
        <v>609</v>
      </c>
      <c r="T64" s="438" t="s">
        <v>616</v>
      </c>
      <c r="U64" s="449"/>
      <c r="V64" s="449"/>
      <c r="W64" s="449"/>
      <c r="X64" s="449"/>
      <c r="Y64" s="852"/>
      <c r="Z64" s="852"/>
      <c r="AA64" s="449"/>
      <c r="AB64" s="449"/>
      <c r="AC64" s="449"/>
      <c r="AQ64" s="406"/>
      <c r="BN64" s="407"/>
    </row>
    <row r="65" ht="28.8">
      <c r="A65" s="853"/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3"/>
      <c r="M65" s="853"/>
      <c r="N65" s="853"/>
      <c r="O65" s="853"/>
      <c r="P65" s="853"/>
      <c r="Q65" s="853"/>
      <c r="R65" s="849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53"/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49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5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49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53"/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3"/>
      <c r="M68" s="853"/>
      <c r="N68" s="853"/>
      <c r="O68" s="853"/>
      <c r="P68" s="853"/>
      <c r="Q68" s="853"/>
      <c r="R68" s="849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53"/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49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53"/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49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53"/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49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53"/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49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53"/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49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53"/>
      <c r="B74" s="853"/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49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53"/>
      <c r="B75" s="853"/>
      <c r="C75" s="853"/>
      <c r="D75" s="853"/>
      <c r="E75" s="853"/>
      <c r="F75" s="853"/>
      <c r="G75" s="853"/>
      <c r="H75" s="853"/>
      <c r="I75" s="853"/>
      <c r="J75" s="853"/>
      <c r="K75" s="853"/>
      <c r="L75" s="853"/>
      <c r="M75" s="853"/>
      <c r="N75" s="853"/>
      <c r="O75" s="853"/>
      <c r="P75" s="853"/>
      <c r="Q75" s="853"/>
      <c r="R75" s="849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53"/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  <c r="P76" s="853"/>
      <c r="Q76" s="853"/>
      <c r="R76" s="849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9"/>
      <c r="AR77" s="406"/>
      <c r="BN77" s="407"/>
    </row>
    <row r="78" ht="15" customHeight="1">
      <c r="A78" s="851" t="s">
        <v>440</v>
      </c>
      <c r="B78" s="851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49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51"/>
      <c r="B79" s="851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49"/>
      <c r="AC79" s="406"/>
      <c r="AR79" s="406"/>
      <c r="BB79" s="406"/>
      <c r="BM79" s="407"/>
    </row>
    <row r="80" ht="38.25" customHeight="1">
      <c r="A80" s="851"/>
      <c r="B80" s="851"/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51"/>
      <c r="O80" s="851"/>
      <c r="P80" s="851"/>
      <c r="Q80" s="851"/>
      <c r="R80" s="849"/>
      <c r="AR80" s="406"/>
      <c r="BB80" s="406"/>
      <c r="BM80" s="407"/>
    </row>
    <row r="81" ht="38.25" customHeight="1">
      <c r="A81" s="851"/>
      <c r="B81" s="851"/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51"/>
      <c r="O81" s="851"/>
      <c r="P81" s="851"/>
      <c r="Q81" s="851"/>
      <c r="R81" s="849"/>
      <c r="AR81" s="406"/>
      <c r="BB81" s="406"/>
      <c r="BM81" s="407"/>
    </row>
    <row r="82" ht="38.25" customHeight="1">
      <c r="A82" s="851"/>
      <c r="B82" s="851"/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51"/>
      <c r="O82" s="851"/>
      <c r="P82" s="851"/>
      <c r="Q82" s="851"/>
      <c r="R82" s="849"/>
      <c r="AR82" s="406"/>
      <c r="BB82" s="406"/>
      <c r="BM82" s="407"/>
    </row>
    <row r="83" ht="38.25" customHeight="1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  <c r="P83" s="851"/>
      <c r="Q83" s="851"/>
      <c r="R83" s="849"/>
      <c r="AR83" s="406"/>
      <c r="BB83" s="406"/>
      <c r="BM83" s="407"/>
    </row>
    <row r="84" ht="38.25" customHeight="1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49"/>
      <c r="AR84" s="406"/>
      <c r="BB84" s="406"/>
      <c r="BM84" s="407"/>
    </row>
    <row r="85" ht="38.25" customHeight="1">
      <c r="A85" s="851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  <c r="P85" s="851"/>
      <c r="Q85" s="851"/>
      <c r="R85" s="849"/>
      <c r="AR85" s="406"/>
      <c r="BB85" s="406"/>
      <c r="BM85" s="407"/>
    </row>
    <row r="86" ht="38.25" customHeight="1">
      <c r="A86" s="851"/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49"/>
      <c r="AR86" s="406"/>
      <c r="BB86" s="406"/>
      <c r="BM86" s="407"/>
    </row>
    <row r="87" ht="38.25" customHeight="1">
      <c r="A87" s="851"/>
      <c r="B87" s="851"/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51"/>
      <c r="O87" s="851"/>
      <c r="P87" s="851"/>
      <c r="Q87" s="851"/>
      <c r="R87" s="849"/>
      <c r="AR87" s="406"/>
      <c r="BB87" s="406"/>
      <c r="BM87" s="407"/>
    </row>
    <row r="88" ht="38.25" customHeight="1">
      <c r="A88" s="851"/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1"/>
      <c r="O88" s="851"/>
      <c r="P88" s="851"/>
      <c r="Q88" s="851"/>
      <c r="R88" s="849"/>
      <c r="AR88" s="406"/>
      <c r="BB88" s="406"/>
      <c r="BM88" s="407"/>
    </row>
    <row r="89" ht="38.25" customHeight="1">
      <c r="A89" s="851"/>
      <c r="B89" s="851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49"/>
      <c r="AR89" s="406"/>
      <c r="BB89" s="406"/>
      <c r="BM89" s="407"/>
    </row>
    <row r="90" ht="38.25" customHeight="1">
      <c r="A90" s="851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49"/>
      <c r="AR90" s="406"/>
      <c r="BB90" s="406"/>
      <c r="BM90" s="407"/>
    </row>
    <row r="91" ht="38.25" customHeight="1">
      <c r="A91" s="851"/>
      <c r="B91" s="851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49"/>
      <c r="AR91" s="406"/>
      <c r="BB91" s="406"/>
      <c r="BM91" s="407"/>
    </row>
    <row r="92" ht="38.25" customHeight="1">
      <c r="A92" s="851"/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49"/>
      <c r="AR92" s="406"/>
      <c r="BB92" s="406"/>
      <c r="BM92" s="407"/>
    </row>
    <row r="93" ht="38.25" customHeight="1">
      <c r="A93" s="851"/>
      <c r="B93" s="851"/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49"/>
      <c r="AR93" s="406"/>
      <c r="BB93" s="406"/>
      <c r="BM93" s="407"/>
    </row>
    <row r="94" ht="38.25" customHeight="1">
      <c r="A94" s="851"/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1"/>
      <c r="O94" s="851"/>
      <c r="P94" s="851"/>
      <c r="Q94" s="851"/>
      <c r="R94" s="849"/>
      <c r="AR94" s="406"/>
      <c r="BB94" s="406"/>
      <c r="BM94" s="407"/>
    </row>
    <row r="95" ht="38.25" customHeight="1">
      <c r="A95" s="851"/>
      <c r="B95" s="851"/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49"/>
      <c r="AR95" s="406"/>
      <c r="BB95" s="406"/>
      <c r="BM95" s="407"/>
    </row>
    <row r="96" ht="38.25" customHeight="1">
      <c r="A96" s="851"/>
      <c r="B96" s="851"/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49"/>
      <c r="AR96" s="406"/>
      <c r="BB96" s="406"/>
      <c r="BM96" s="407"/>
    </row>
    <row r="97" ht="39" customHeight="1">
      <c r="A97" s="851"/>
      <c r="B97" s="851"/>
      <c r="C97" s="851"/>
      <c r="D97" s="851"/>
      <c r="E97" s="851"/>
      <c r="F97" s="851"/>
      <c r="G97" s="851"/>
      <c r="H97" s="851"/>
      <c r="I97" s="851"/>
      <c r="J97" s="851"/>
      <c r="K97" s="851"/>
      <c r="L97" s="851"/>
      <c r="M97" s="851"/>
      <c r="N97" s="851"/>
      <c r="O97" s="851"/>
      <c r="P97" s="851"/>
      <c r="Q97" s="851"/>
      <c r="R97" s="849"/>
      <c r="AR97" s="406"/>
      <c r="BB97" s="406"/>
      <c r="BM97" s="407"/>
    </row>
    <row r="98" ht="39" customHeight="1">
      <c r="A98" s="851" t="s">
        <v>699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49"/>
      <c r="AR98" s="406"/>
      <c r="BN98" s="407"/>
    </row>
    <row r="99" ht="39" customHeight="1">
      <c r="A99" s="851"/>
      <c r="B99" s="851"/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51"/>
      <c r="O99" s="851"/>
      <c r="P99" s="851"/>
      <c r="Q99" s="851"/>
      <c r="R99" s="849"/>
      <c r="AR99" s="406"/>
      <c r="BN99" s="407"/>
    </row>
    <row r="100" ht="39" customHeight="1">
      <c r="A100" s="851"/>
      <c r="B100" s="851"/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51"/>
      <c r="O100" s="851"/>
      <c r="P100" s="851"/>
      <c r="Q100" s="851"/>
      <c r="R100" s="849"/>
      <c r="AR100" s="406"/>
      <c r="BN100" s="407"/>
    </row>
    <row r="101" ht="39" customHeight="1">
      <c r="A101" s="851"/>
      <c r="B101" s="851"/>
      <c r="C101" s="851"/>
      <c r="D101" s="851"/>
      <c r="E101" s="851"/>
      <c r="F101" s="851"/>
      <c r="G101" s="851"/>
      <c r="H101" s="851"/>
      <c r="I101" s="851"/>
      <c r="J101" s="851"/>
      <c r="K101" s="851"/>
      <c r="L101" s="851"/>
      <c r="M101" s="851"/>
      <c r="N101" s="851"/>
      <c r="O101" s="851"/>
      <c r="P101" s="851"/>
      <c r="Q101" s="851"/>
      <c r="R101" s="849"/>
      <c r="AR101" s="406"/>
      <c r="BN101" s="407"/>
    </row>
    <row r="102" ht="39" customHeight="1">
      <c r="A102" s="851"/>
      <c r="B102" s="851"/>
      <c r="C102" s="851"/>
      <c r="D102" s="851"/>
      <c r="E102" s="851"/>
      <c r="F102" s="851"/>
      <c r="G102" s="851"/>
      <c r="H102" s="851"/>
      <c r="I102" s="851"/>
      <c r="J102" s="851"/>
      <c r="K102" s="851"/>
      <c r="L102" s="851"/>
      <c r="M102" s="851"/>
      <c r="N102" s="851"/>
      <c r="O102" s="851"/>
      <c r="P102" s="851"/>
      <c r="Q102" s="851"/>
      <c r="R102" s="849"/>
      <c r="AR102" s="406"/>
      <c r="BN102" s="407"/>
    </row>
    <row r="103" ht="39" customHeight="1">
      <c r="A103" s="851"/>
      <c r="B103" s="851"/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49"/>
      <c r="AR103" s="406"/>
      <c r="BN103" s="407"/>
    </row>
    <row r="104" ht="39" customHeight="1">
      <c r="A104" s="851"/>
      <c r="B104" s="851"/>
      <c r="C104" s="851"/>
      <c r="D104" s="851"/>
      <c r="E104" s="851"/>
      <c r="F104" s="851"/>
      <c r="G104" s="851"/>
      <c r="H104" s="851"/>
      <c r="I104" s="851"/>
      <c r="J104" s="851"/>
      <c r="K104" s="851"/>
      <c r="L104" s="851"/>
      <c r="M104" s="851"/>
      <c r="N104" s="851"/>
      <c r="O104" s="851"/>
      <c r="P104" s="851"/>
      <c r="Q104" s="851"/>
      <c r="R104" s="849"/>
      <c r="AR104" s="406"/>
      <c r="BN104" s="407"/>
    </row>
    <row r="105" ht="39" customHeight="1">
      <c r="A105" s="851"/>
      <c r="B105" s="851"/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51"/>
      <c r="O105" s="851"/>
      <c r="P105" s="851"/>
      <c r="Q105" s="851"/>
      <c r="R105" s="849"/>
      <c r="AR105" s="406"/>
      <c r="BN105" s="407"/>
    </row>
    <row r="106" ht="39" customHeight="1">
      <c r="A106" s="851"/>
      <c r="B106" s="851"/>
      <c r="C106" s="851"/>
      <c r="D106" s="851"/>
      <c r="E106" s="851"/>
      <c r="F106" s="851"/>
      <c r="G106" s="851"/>
      <c r="H106" s="851"/>
      <c r="I106" s="851"/>
      <c r="J106" s="851"/>
      <c r="K106" s="851"/>
      <c r="L106" s="851"/>
      <c r="M106" s="851"/>
      <c r="N106" s="851"/>
      <c r="O106" s="851"/>
      <c r="P106" s="851"/>
      <c r="Q106" s="851"/>
      <c r="R106" s="849"/>
      <c r="AR106" s="406"/>
      <c r="BN106" s="407"/>
    </row>
    <row r="107" ht="39" customHeight="1">
      <c r="A107" s="851"/>
      <c r="B107" s="851"/>
      <c r="C107" s="851"/>
      <c r="D107" s="851"/>
      <c r="E107" s="851"/>
      <c r="F107" s="851"/>
      <c r="G107" s="851"/>
      <c r="H107" s="851"/>
      <c r="I107" s="851"/>
      <c r="J107" s="851"/>
      <c r="K107" s="851"/>
      <c r="L107" s="851"/>
      <c r="M107" s="851"/>
      <c r="N107" s="851"/>
      <c r="O107" s="851"/>
      <c r="P107" s="851"/>
      <c r="Q107" s="851"/>
      <c r="R107" s="849"/>
      <c r="AR107" s="406"/>
      <c r="BN107" s="407"/>
    </row>
    <row r="108" ht="39" customHeight="1">
      <c r="A108" s="851"/>
      <c r="B108" s="851"/>
      <c r="C108" s="851"/>
      <c r="D108" s="851"/>
      <c r="E108" s="851"/>
      <c r="F108" s="851"/>
      <c r="G108" s="851"/>
      <c r="H108" s="851"/>
      <c r="I108" s="851"/>
      <c r="J108" s="851"/>
      <c r="K108" s="851"/>
      <c r="L108" s="851"/>
      <c r="M108" s="851"/>
      <c r="N108" s="851"/>
      <c r="O108" s="851"/>
      <c r="P108" s="851"/>
      <c r="Q108" s="851"/>
      <c r="R108" s="849"/>
      <c r="AR108" s="406"/>
      <c r="BN108" s="407"/>
    </row>
    <row r="109" ht="39" customHeight="1">
      <c r="A109" s="851"/>
      <c r="B109" s="851"/>
      <c r="C109" s="851"/>
      <c r="D109" s="851"/>
      <c r="E109" s="851"/>
      <c r="F109" s="851"/>
      <c r="G109" s="851"/>
      <c r="H109" s="851"/>
      <c r="I109" s="851"/>
      <c r="J109" s="851"/>
      <c r="K109" s="851"/>
      <c r="L109" s="851"/>
      <c r="M109" s="851"/>
      <c r="N109" s="851"/>
      <c r="O109" s="851"/>
      <c r="P109" s="851"/>
      <c r="Q109" s="851"/>
      <c r="R109" s="849"/>
      <c r="AR109" s="406"/>
      <c r="BN109" s="407"/>
    </row>
    <row r="110" ht="39" customHeight="1">
      <c r="A110" s="851"/>
      <c r="B110" s="851"/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51"/>
      <c r="O110" s="851"/>
      <c r="P110" s="851"/>
      <c r="Q110" s="851"/>
      <c r="R110" s="849"/>
      <c r="AR110" s="406"/>
      <c r="BN110" s="407"/>
    </row>
    <row r="111" ht="39" customHeight="1">
      <c r="A111" s="851"/>
      <c r="B111" s="851"/>
      <c r="C111" s="851"/>
      <c r="D111" s="851"/>
      <c r="E111" s="851"/>
      <c r="F111" s="851"/>
      <c r="G111" s="851"/>
      <c r="H111" s="851"/>
      <c r="I111" s="851"/>
      <c r="J111" s="851"/>
      <c r="K111" s="851"/>
      <c r="L111" s="851"/>
      <c r="M111" s="851"/>
      <c r="N111" s="851"/>
      <c r="O111" s="851"/>
      <c r="P111" s="851"/>
      <c r="Q111" s="851"/>
      <c r="R111" s="849"/>
      <c r="AR111" s="406"/>
      <c r="BN111" s="407"/>
    </row>
    <row r="112" ht="39" customHeight="1">
      <c r="A112" s="851"/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851"/>
      <c r="O112" s="851"/>
      <c r="P112" s="851"/>
      <c r="Q112" s="851"/>
      <c r="R112" s="849"/>
      <c r="AR112" s="406"/>
      <c r="BN112" s="407"/>
    </row>
    <row r="113" ht="39" customHeight="1">
      <c r="A113" s="851"/>
      <c r="B113" s="851"/>
      <c r="C113" s="851"/>
      <c r="D113" s="851"/>
      <c r="E113" s="851"/>
      <c r="F113" s="851"/>
      <c r="G113" s="851"/>
      <c r="H113" s="851"/>
      <c r="I113" s="851"/>
      <c r="J113" s="851"/>
      <c r="K113" s="851"/>
      <c r="L113" s="851"/>
      <c r="M113" s="851"/>
      <c r="N113" s="851"/>
      <c r="O113" s="851"/>
      <c r="P113" s="851"/>
      <c r="Q113" s="851"/>
      <c r="R113" s="849"/>
      <c r="AR113" s="406"/>
      <c r="BN113" s="407"/>
    </row>
    <row r="114" ht="39" customHeight="1">
      <c r="A114" s="851"/>
      <c r="B114" s="851"/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51"/>
      <c r="O114" s="851"/>
      <c r="P114" s="851"/>
      <c r="Q114" s="851"/>
      <c r="R114" s="849"/>
      <c r="AR114" s="406"/>
      <c r="BN114" s="407"/>
    </row>
    <row r="115" ht="39" customHeight="1">
      <c r="A115" s="851"/>
      <c r="B115" s="851"/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4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45:AG47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O50:AP50"/>
    <mergeCell ref="AO46:AP49"/>
    <mergeCell ref="AH48:AL48"/>
    <mergeCell ref="AM48:AN48"/>
    <mergeCell ref="AH49:AL49"/>
    <mergeCell ref="AM49:AN51"/>
    <mergeCell ref="AH50:AL50"/>
    <mergeCell ref="AH51:AL5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1"/>
      <c r="B3" s="111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17"/>
      <c r="B12" s="111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23"/>
      <c r="B21" s="112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68" t="s">
        <v>672</v>
      </c>
      <c r="B1" s="868"/>
      <c r="C1" s="598" t="s">
        <v>700</v>
      </c>
      <c r="D1" s="597" t="str">
        <f>تسعير!AJ28</f>
        <v>تركي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24571.6525</v>
      </c>
      <c r="O1" s="615"/>
      <c r="P1" s="0" t="s">
        <v>665</v>
      </c>
      <c r="Q1" s="603" t="str">
        <f>تسعير!AH28</f>
        <v>4*4</v>
      </c>
      <c r="R1" s="601" t="s">
        <v>703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673.98</v>
      </c>
      <c r="V4" s="605">
        <f ref="V4:V21" t="shared" si="0">U4*S4</f>
        <v>673.98</v>
      </c>
      <c r="W4" s="605">
        <f>Table1102[[#This Row],[متطلبات انتاج الشمسيه 2.5]]*Table1102[[#This Row],[سعر]]</f>
        <v>336.99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1237.98</v>
      </c>
      <c r="V5" s="605">
        <f t="shared" si="0"/>
        <v>2475.96</v>
      </c>
      <c r="W5" s="605">
        <f>Table1102[[#This Row],[متطلبات انتاج الشمسيه 2.5]]*Table1102[[#This Row],[سعر]]</f>
        <v>2475.96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955.98</v>
      </c>
      <c r="V6" s="605">
        <f t="shared" si="0"/>
        <v>955.98</v>
      </c>
      <c r="W6" s="605">
        <f>Table1102[[#This Row],[متطلبات انتاج الشمسيه 2.5]]*Table1102[[#This Row],[سعر]]</f>
        <v>955.98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737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738</v>
      </c>
      <c r="B11" s="591" t="s">
        <v>739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672</v>
      </c>
      <c r="O11" s="590">
        <v>8</v>
      </c>
      <c r="P11" s="607" t="s">
        <v>740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738</v>
      </c>
      <c r="B12" s="591" t="s">
        <v>741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1145" t="s">
        <v>742</v>
      </c>
      <c r="O12" s="590">
        <v>9</v>
      </c>
      <c r="P12" s="607" t="s">
        <v>743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744</v>
      </c>
      <c r="B13" s="591" t="s">
        <v>745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1145" t="s">
        <v>746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744</v>
      </c>
      <c r="B14" s="591" t="s">
        <v>749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1145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744</v>
      </c>
      <c r="B15" s="591" t="s">
        <v>752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19657.322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13199.92</v>
      </c>
      <c r="W22" s="572">
        <f>SUBTOTAL(109,Table1102[2.5])</f>
        <v>11982.93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17819.892</v>
      </c>
      <c r="W23" s="616">
        <f>IF(تسعير!AI17="قطاعي",Table1102[[#Totals],[2.5]]*1.35,IF(تسعير!AI17="جملة",Table1102[[#Totals],[2.5]]*1.25,IF(تسعير!AI17="نصف جملة",Table1102[[#Totals],[2.5]]*1.3,0)))</f>
        <v>16176.955500000002</v>
      </c>
    </row>
    <row r="24" ht="27" customHeight="1">
      <c r="A24" s="618" t="s">
        <v>773</v>
      </c>
      <c r="B24" s="1153" t="str">
        <f>تسعير!AN28</f>
        <v>متحركة</v>
      </c>
      <c r="C24" s="618"/>
      <c r="D24" s="619">
        <f>IF(تسعير!AG28="جملة",Table17118[[#Totals],[Column4]]*1.25,Table17118[[#Totals],[Column4]]*1.3)</f>
        <v>8800.231325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23532.07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408.618</v>
      </c>
      <c r="D26" s="622">
        <f>Table17118[[#This Row],[القيمة]]*Table17118[[#This Row],[العدد]]</f>
        <v>1091.01006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1195.248</v>
      </c>
      <c r="S27" s="622">
        <f>Table1718[[#This Row],[القيمة]]*Table1718[[#This Row],[العدد]]</f>
        <v>5378.616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917.04000000000008</v>
      </c>
      <c r="S28" s="622">
        <f>Table1718[[#This Row],[القيمة]]*Table1718[[#This Row],[العدد]]</f>
        <v>917.04000000000008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1152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1152" t="s">
        <v>215</v>
      </c>
    </row>
    <row r="34" ht="27" customHeight="1">
      <c r="A34" s="0" t="s">
        <v>54</v>
      </c>
      <c r="D34" s="621">
        <f>SUBTOTAL(109,Table17118[Column4])</f>
        <v>7040.18506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18825.656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46139.620836064816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69" t="s">
        <v>58</v>
      </c>
      <c r="E10" s="869"/>
      <c r="F10" s="869"/>
      <c r="G10" s="869"/>
      <c r="H10" s="869"/>
      <c r="I10" s="86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69" t="s">
        <v>72</v>
      </c>
      <c r="E15" s="869"/>
      <c r="F15" s="869"/>
      <c r="G15" s="869"/>
      <c r="H15" s="869"/>
      <c r="I15" s="86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69" t="s">
        <v>95</v>
      </c>
      <c r="E28" s="869"/>
      <c r="F28" s="869"/>
      <c r="G28" s="869"/>
      <c r="H28" s="869"/>
      <c r="I28" s="86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69" t="s">
        <v>99</v>
      </c>
      <c r="E33" s="869"/>
      <c r="F33" s="869"/>
      <c r="G33" s="869"/>
      <c r="H33" s="869"/>
      <c r="I33" s="86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69" t="s">
        <v>119</v>
      </c>
      <c r="E51" s="869"/>
      <c r="F51" s="869"/>
      <c r="G51" s="869"/>
      <c r="H51" s="869"/>
      <c r="I51" s="86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69" t="s">
        <v>123</v>
      </c>
      <c r="E56" s="869"/>
      <c r="F56" s="869"/>
      <c r="G56" s="869"/>
      <c r="H56" s="869"/>
      <c r="I56" s="86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69" t="s">
        <v>132</v>
      </c>
      <c r="E65" s="869"/>
      <c r="F65" s="869"/>
      <c r="G65" s="869"/>
      <c r="H65" s="869"/>
      <c r="I65" s="86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46139.620836064816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69" t="s">
        <v>58</v>
      </c>
      <c r="E11" s="869"/>
      <c r="F11" s="869"/>
      <c r="G11" s="869"/>
      <c r="H11" s="869"/>
      <c r="I11" s="86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69" t="s">
        <v>72</v>
      </c>
      <c r="E16" s="869"/>
      <c r="F16" s="869"/>
      <c r="G16" s="869"/>
      <c r="H16" s="869"/>
      <c r="I16" s="86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" s="216" customFormat="1">
      <c r="C29" s="217"/>
      <c r="D29" s="869" t="s">
        <v>95</v>
      </c>
      <c r="E29" s="869"/>
      <c r="F29" s="869"/>
      <c r="G29" s="869"/>
      <c r="H29" s="869"/>
      <c r="I29" s="86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" s="216" customFormat="1">
      <c r="C34" s="217"/>
      <c r="D34" s="869" t="s">
        <v>99</v>
      </c>
      <c r="E34" s="869"/>
      <c r="F34" s="869"/>
      <c r="G34" s="869"/>
      <c r="H34" s="869"/>
      <c r="I34" s="86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69" t="s">
        <v>119</v>
      </c>
      <c r="E52" s="869"/>
      <c r="F52" s="869"/>
      <c r="G52" s="869"/>
      <c r="H52" s="869"/>
      <c r="I52" s="86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" s="216" customFormat="1">
      <c r="C57" s="217"/>
      <c r="D57" s="869" t="s">
        <v>123</v>
      </c>
      <c r="E57" s="869"/>
      <c r="F57" s="869"/>
      <c r="G57" s="869"/>
      <c r="H57" s="869"/>
      <c r="I57" s="86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" s="216" customFormat="1">
      <c r="C63" s="217"/>
      <c r="D63" s="869" t="s">
        <v>162</v>
      </c>
      <c r="E63" s="869"/>
      <c r="F63" s="869"/>
      <c r="G63" s="869"/>
      <c r="H63" s="869"/>
      <c r="I63" s="86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69" t="s">
        <v>132</v>
      </c>
      <c r="E67" s="869"/>
      <c r="F67" s="869"/>
      <c r="G67" s="869"/>
      <c r="H67" s="869"/>
      <c r="I67" s="86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">
      <c r="A83" s="216"/>
      <c r="B83" s="216"/>
      <c r="C83" s="217"/>
      <c r="D83" s="880"/>
      <c r="E83" s="880"/>
      <c r="F83" s="880"/>
      <c r="G83" s="880"/>
      <c r="H83" s="880"/>
      <c r="I83" s="88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0" t="s">
        <v>17</v>
      </c>
      <c r="M3" s="87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72">
        <f>NOW()</f>
        <v>46139.620836168979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0" t="s">
        <v>17</v>
      </c>
      <c r="M3" s="87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72">
        <f>NOW()</f>
        <v>46139.620836168979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1146" t="s">
        <v>219</v>
      </c>
      <c r="T5" s="1147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881">
        <f>N6+N9+N10+N11</f>
        <v>14214</v>
      </c>
      <c r="O18" s="88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881"/>
      <c r="O19" s="88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881"/>
      <c r="O20" s="88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1148"/>
      <c r="W21" s="1149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881">
        <f>N18*1.8</f>
        <v>25585.2</v>
      </c>
      <c r="O22" s="88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881"/>
      <c r="O23" s="881"/>
      <c r="P23" s="357"/>
      <c r="R23" s="332"/>
      <c r="AG23" s="357"/>
    </row>
    <row r="24">
      <c r="A24" s="318"/>
      <c r="N24" s="881"/>
      <c r="O24" s="88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69" t="s">
        <v>132</v>
      </c>
      <c r="M29" s="869"/>
      <c r="N29" s="869"/>
      <c r="O29" s="869"/>
      <c r="P29" s="869"/>
      <c r="Q29" s="86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69" t="s">
        <v>132</v>
      </c>
      <c r="M62" s="869"/>
      <c r="N62" s="869"/>
      <c r="O62" s="869"/>
      <c r="P62" s="869"/>
      <c r="Q62" s="86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4" t="s">
        <v>0</v>
      </c>
      <c r="BH1" s="875"/>
      <c r="BI1" s="87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77"/>
      <c r="M2" s="878"/>
      <c r="N2" s="87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77"/>
      <c r="BH2" s="878"/>
      <c r="BI2" s="87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0" t="s">
        <v>17</v>
      </c>
      <c r="M3" s="87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72">
        <f>NOW()</f>
        <v>46139.620836168979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0" t="s">
        <v>17</v>
      </c>
      <c r="BH3" s="87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72">
        <f>NOW()</f>
        <v>46139.620836168979</v>
      </c>
      <c r="BN3" s="873"/>
      <c r="BO3" s="87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69" t="s">
        <v>20</v>
      </c>
      <c r="BK4" s="869"/>
      <c r="BL4" s="869"/>
      <c r="BM4" s="869"/>
      <c r="BN4" s="869"/>
      <c r="BO4" s="86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69" t="s">
        <v>72</v>
      </c>
      <c r="P12" s="869"/>
      <c r="Q12" s="869"/>
      <c r="R12" s="869"/>
      <c r="S12" s="869"/>
      <c r="T12" s="86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69" t="s">
        <v>72</v>
      </c>
      <c r="BK12" s="869"/>
      <c r="BL12" s="869"/>
      <c r="BM12" s="869"/>
      <c r="BN12" s="869"/>
      <c r="BO12" s="86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69" t="s">
        <v>95</v>
      </c>
      <c r="P20" s="869"/>
      <c r="Q20" s="869"/>
      <c r="R20" s="869"/>
      <c r="S20" s="869"/>
      <c r="T20" s="86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69" t="s">
        <v>95</v>
      </c>
      <c r="BK20" s="869"/>
      <c r="BL20" s="869"/>
      <c r="BM20" s="869"/>
      <c r="BN20" s="869"/>
      <c r="BO20" s="86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69" t="s">
        <v>99</v>
      </c>
      <c r="P26" s="869"/>
      <c r="Q26" s="869"/>
      <c r="R26" s="869"/>
      <c r="S26" s="869"/>
      <c r="T26" s="86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69" t="s">
        <v>99</v>
      </c>
      <c r="BK26" s="869"/>
      <c r="BL26" s="869"/>
      <c r="BM26" s="869"/>
      <c r="BN26" s="869"/>
      <c r="BO26" s="86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69" t="s">
        <v>162</v>
      </c>
      <c r="BK44" s="869"/>
      <c r="BL44" s="869"/>
      <c r="BM44" s="869"/>
      <c r="BN44" s="869"/>
      <c r="BO44" s="86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69" t="s">
        <v>162</v>
      </c>
      <c r="P45" s="869"/>
      <c r="Q45" s="869"/>
      <c r="R45" s="869"/>
      <c r="S45" s="869"/>
      <c r="T45" s="86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69" t="s">
        <v>132</v>
      </c>
      <c r="BK49" s="869"/>
      <c r="BL49" s="869"/>
      <c r="BM49" s="869"/>
      <c r="BN49" s="869"/>
      <c r="BO49" s="86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69" t="s">
        <v>132</v>
      </c>
      <c r="P50" s="869"/>
      <c r="Q50" s="869"/>
      <c r="R50" s="869"/>
      <c r="S50" s="869"/>
      <c r="T50" s="86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0"/>
      <c r="BK65" s="880"/>
      <c r="BL65" s="880"/>
      <c r="BM65" s="880"/>
      <c r="BN65" s="880"/>
      <c r="BO65" s="88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80"/>
      <c r="P66" s="880"/>
      <c r="Q66" s="880"/>
      <c r="R66" s="880"/>
      <c r="S66" s="880"/>
      <c r="T66" s="88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5" t="s">
        <v>0</v>
      </c>
      <c r="BH71" s="875"/>
      <c r="BI71" s="87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75" t="s">
        <v>0</v>
      </c>
      <c r="M72" s="875"/>
      <c r="N72" s="87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82"/>
      <c r="BH72" s="882"/>
      <c r="BI72" s="88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82"/>
      <c r="M73" s="882"/>
      <c r="N73" s="88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884" t="s">
        <v>17</v>
      </c>
      <c r="BH73" s="88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73">
        <f>NOW()</f>
        <v>46139.620836377311</v>
      </c>
      <c r="BN73" s="873"/>
      <c r="BO73" s="87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83" t="s">
        <v>17</v>
      </c>
      <c r="M74" s="88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73">
        <f>NOW()</f>
        <v>46139.620836377311</v>
      </c>
      <c r="S74" s="873"/>
      <c r="T74" s="87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69" t="s">
        <v>20</v>
      </c>
      <c r="BK74" s="869"/>
      <c r="BL74" s="869"/>
      <c r="BM74" s="869"/>
      <c r="BN74" s="869"/>
      <c r="BO74" s="86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69" t="s">
        <v>20</v>
      </c>
      <c r="P75" s="869"/>
      <c r="Q75" s="869"/>
      <c r="R75" s="869"/>
      <c r="S75" s="869"/>
      <c r="T75" s="86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69" t="s">
        <v>72</v>
      </c>
      <c r="BK82" s="869"/>
      <c r="BL82" s="869"/>
      <c r="BM82" s="869"/>
      <c r="BN82" s="869"/>
      <c r="BO82" s="86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69" t="s">
        <v>72</v>
      </c>
      <c r="P83" s="869"/>
      <c r="Q83" s="869"/>
      <c r="R83" s="869"/>
      <c r="S83" s="869"/>
      <c r="T83" s="86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69" t="s">
        <v>95</v>
      </c>
      <c r="BK90" s="869"/>
      <c r="BL90" s="869"/>
      <c r="BM90" s="869"/>
      <c r="BN90" s="869"/>
      <c r="BO90" s="86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69" t="s">
        <v>95</v>
      </c>
      <c r="P91" s="869"/>
      <c r="Q91" s="869"/>
      <c r="R91" s="869"/>
      <c r="S91" s="869"/>
      <c r="T91" s="86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69" t="s">
        <v>99</v>
      </c>
      <c r="BK96" s="869"/>
      <c r="BL96" s="869"/>
      <c r="BM96" s="869"/>
      <c r="BN96" s="869"/>
      <c r="BO96" s="86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69" t="s">
        <v>99</v>
      </c>
      <c r="P97" s="869"/>
      <c r="Q97" s="869"/>
      <c r="R97" s="869"/>
      <c r="S97" s="869"/>
      <c r="T97" s="86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69" t="s">
        <v>162</v>
      </c>
      <c r="BK115" s="869"/>
      <c r="BL115" s="869"/>
      <c r="BM115" s="869"/>
      <c r="BN115" s="869"/>
      <c r="BO115" s="86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69" t="s">
        <v>162</v>
      </c>
      <c r="P116" s="869"/>
      <c r="Q116" s="869"/>
      <c r="R116" s="869"/>
      <c r="S116" s="869"/>
      <c r="T116" s="86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69" t="s">
        <v>132</v>
      </c>
      <c r="BK120" s="869"/>
      <c r="BL120" s="869"/>
      <c r="BM120" s="869"/>
      <c r="BN120" s="869"/>
      <c r="BO120" s="86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69" t="s">
        <v>132</v>
      </c>
      <c r="P121" s="869"/>
      <c r="Q121" s="869"/>
      <c r="R121" s="869"/>
      <c r="S121" s="869"/>
      <c r="T121" s="86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0"/>
      <c r="BK136" s="880"/>
      <c r="BL136" s="880"/>
      <c r="BM136" s="880"/>
      <c r="BN136" s="880"/>
      <c r="BO136" s="88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80"/>
      <c r="P137" s="880"/>
      <c r="Q137" s="880"/>
      <c r="R137" s="880"/>
      <c r="S137" s="880"/>
      <c r="T137" s="88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2026-04-27T09:14:49Z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