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C593C172-A3AE-4381-B29E-2EAC157A3563}" xr6:coauthVersionLast="47" xr6:coauthVersionMax="47" xr10:uidLastSave="{00000000-0000-0000-0000-000000000000}"/>
  <bookViews>
    <workbookView xWindow="-108" yWindow="-108" windowWidth="23256" windowHeight="12576" tabRatio="934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<sst xmlns="http://schemas.openxmlformats.org/spreadsheetml/2006/main" count="797" uniqueCount="797">
  <si>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</si>
  <si>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</si>
  <si>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</si>
  <si>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</si>
  <si>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</si>
  <si>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</si>
  <si>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</si>
  <si>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</si>
  <si>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</si>
  <si>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</si>
  <si>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</si>
  <si>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</si>
  <si>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</si>
  <si>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</si>
  <si>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</si>
  <si>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</si>
  <si>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</si>
  <si>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</si>
  <si>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</si>
  <si>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</si>
  <si>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</si>
  <si>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</si>
  <si>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</si>
  <si>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</si>
  <si>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</si>
  <si>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</si>
  <si>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</si>
  <si>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</si>
  <si>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</si>
  <si>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</si>
  <si>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</si>
  <si>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</si>
  <si>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</si>
  <si>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</si>
  <si>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</si>
  <si>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</si>
  <si>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</si>
  <si>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</si>
  <si>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</si>
  <si>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</si>
  <si>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</si>
  <si>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</si>
  <si>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</si>
  <si>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</si>
  <si>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</si>
  <si>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</si>
  <si>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</si>
  <si>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</si>
  <si>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</si>
  <si>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</si>
  <si>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</si>
  <si>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</si>
  <si>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</si>
  <si>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</si>
  <si>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</si>
  <si>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</si>
  <si>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</si>
  <si>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</si>
  <si>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</si>
  <si>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</si>
  <si>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</si>
  <si>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</si>
  <si>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</si>
  <si>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</si>
  <si>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</si>
  <si>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</si>
  <si>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</si>
  <si>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</si>
  <si>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</si>
  <si>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</si>
  <si>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</si>
  <si>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</si>
  <si>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</si>
  <si>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</si>
  <si>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</si>
  <si>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</si>
  <si>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</si>
  <si>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</si>
  <si>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</si>
  <si>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</si>
  <si>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</si>
  <si>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</si>
  <si>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</si>
  <si>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</si>
  <si>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</si>
  <si>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</si>
  <si>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</si>
  <si>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</si>
  <si>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</si>
  <si>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</si>
  <si>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</si>
  <si>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</si>
  <si>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</si>
  <si>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</si>
  <si>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</si>
  <si>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</si>
  <si>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</si>
  <si>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</si>
  <si>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</si>
  <si>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</si>
  <si>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</si>
  <si>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</si>
  <si>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</si>
  <si>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</si>
  <si>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</si>
  <si>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</si>
  <si>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</si>
  <si>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</si>
  <si>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</si>
  <si>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</si>
  <si>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</si>
  <si>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</si>
  <si>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</si>
  <si>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</si>
  <si>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</si>
  <si>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</si>
  <si>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</si>
  <si>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</si>
  <si>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</si>
  <si>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</si>
  <si>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</si>
  <si>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</si>
  <si>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</si>
  <si>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</si>
  <si>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</si>
  <si>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</si>
  <si>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</si>
  <si>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</si>
  <si>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</si>
  <si>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</si>
  <si>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</si>
  <si>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</si>
  <si>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</si>
  <si>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</si>
  <si>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</si>
  <si>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</si>
  <si>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</si>
  <si>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</si>
  <si>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</si>
  <si>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</si>
  <si>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</si>
  <si>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</si>
  <si>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</si>
  <si>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</si>
  <si>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</si>
  <si>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</si>
  <si>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</si>
  <si>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</si>
  <si>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</si>
  <si>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</si>
  <si>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</si>
  <si>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</si>
  <si>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</si>
  <si>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</si>
  <si>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</si>
  <si>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</si>
  <si>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</si>
  <si>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</si>
  <si>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</si>
  <si>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</si>
  <si>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</si>
  <si>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</si>
  <si>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</si>
  <si>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</si>
  <si>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</si>
  <si>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</si>
  <si>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</si>
  <si>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</si>
  <si>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</si>
  <si>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</si>
  <si>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</si>
  <si>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</si>
  <si>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</si>
  <si>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</si>
  <si>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</si>
  <si>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</si>
  <si>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</si>
  <si>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</si>
  <si>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</si>
  <si>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</si>
  <si>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</si>
  <si>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</si>
  <si>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</si>
  <si>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</si>
  <si>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</si>
  <si>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</si>
  <si>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</si>
  <si>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</si>
  <si>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</si>
  <si>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</si>
  <si>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</si>
  <si>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</si>
  <si>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</si>
  <si>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</si>
  <si>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</si>
  <si>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</si>
  <si>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</si>
  <si>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</si>
  <si>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</si>
  <si>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</si>
  <si>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</si>
  <si>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</si>
  <si>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</si>
  <si>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</si>
  <si>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</si>
  <si>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</si>
  <si>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</si>
  <si>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</si>
  <si>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</si>
  <si>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</si>
  <si>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</si>
  <si>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</si>
  <si>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</si>
  <si>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</si>
  <si>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</si>
  <si>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</si>
  <si>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</si>
  <si>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</si>
  <si>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</si>
  <si>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</si>
  <si>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</si>
  <si>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</si>
  <si>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</si>
  <si>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</si>
  <si>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</si>
  <si>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</si>
  <si>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</si>
  <si>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</si>
  <si>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</si>
  <si>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</si>
  <si>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</si>
  <si>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</si>
  <si>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</si>
  <si>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</si>
  <si>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</si>
  <si>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</si>
  <si>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</si>
  <si>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</si>
  <si>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</si>
  <si>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</si>
  <si>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</si>
  <si>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</si>
  <si>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</si>
  <si>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</si>
  <si>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</si>
  <si>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</si>
  <si>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</si>
  <si>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</si>
  <si>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</si>
  <si>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</si>
  <si>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</si>
  <si>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</si>
  <si>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</si>
  <si>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</si>
  <si>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</si>
  <si>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</si>
  <si>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</si>
  <si>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</si>
  <si>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</si>
  <si>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</si>
  <si>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</si>
  <si>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</si>
  <si>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</si>
  <si>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</si>
  <si>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</si>
  <si>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</si>
  <si>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</si>
  <si>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</si>
  <si>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</si>
  <si>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</si>
  <si>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</si>
  <si>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</si>
  <si>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</si>
  <si>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</si>
  <si>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</si>
  <si>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</si>
  <si>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</si>
  <si>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</si>
  <si>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</si>
  <si>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</si>
  <si>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</si>
  <si>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</si>
  <si>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</si>
  <si>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</si>
  <si>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</si>
  <si>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</si>
  <si>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</si>
  <si>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</si>
  <si>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</si>
  <si>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</si>
  <si>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</si>
  <si>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</si>
  <si>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</si>
  <si>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</si>
  <si>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</si>
  <si>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</si>
  <si>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</si>
  <si>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</si>
  <si>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</si>
  <si>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</si>
  <si>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</si>
  <si>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</si>
  <si>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</si>
  <si>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</si>
  <si>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</si>
  <si>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</si>
  <si>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</si>
  <si>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</si>
  <si>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</si>
  <si>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</si>
  <si>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</si>
  <si>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</si>
  <si>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</si>
  <si>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</si>
  <si>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</si>
  <si>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</si>
  <si>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</si>
  <si>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</si>
  <si>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</si>
  <si>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</si>
  <si>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</si>
  <si>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</si>
  <si>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</si>
  <si>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</si>
  <si>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</si>
  <si>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</si>
  <si>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</si>
  <si>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</si>
  <si>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</si>
  <si>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</si>
  <si>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</si>
  <si>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</si>
  <si>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</si>
  <si>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</si>
  <si>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</si>
  <si>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</si>
  <si>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</si>
  <si>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</si>
  <si>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</si>
  <si>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</si>
  <si>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</si>
  <si>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</si>
  <si>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</si>
  <si>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</si>
  <si>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</si>
  <si>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</si>
  <si>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</si>
  <si>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</si>
  <si>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</si>
  <si>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</si>
  <si>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</si>
  <si>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</si>
  <si>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</si>
  <si>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</si>
  <si>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</si>
  <si>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</si>
  <si>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</si>
  <si>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</si>
  <si>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</si>
  <si>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</si>
  <si>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</si>
  <si>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</si>
  <si>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</si>
  <si>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</si>
  <si>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</si>
  <si>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</si>
  <si>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</si>
  <si>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</si>
  <si>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</si>
  <si>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</si>
  <si>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</si>
  <si>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</si>
  <si>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</si>
  <si>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</si>
  <si>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</si>
  <si>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</si>
  <si>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</si>
  <si>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</si>
  <si>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</si>
  <si>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</si>
  <si>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</si>
  <si>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</si>
  <si>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</si>
  <si>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</si>
  <si>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</si>
  <si>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</si>
  <si>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</si>
  <si>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</si>
  <si>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</si>
  <si>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</si>
  <si>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</si>
  <si>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</si>
  <si>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</si>
  <si>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</si>
  <si>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</si>
  <si>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</si>
  <si>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</si>
  <si>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</si>
  <si>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</si>
  <si>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</si>
  <si>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</si>
  <si>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</si>
  <si>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</si>
  <si>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</si>
  <si>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</si>
  <si>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</si>
  <si>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</si>
  <si>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</si>
  <si>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</si>
  <si>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</si>
  <si>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</si>
  <si>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</si>
  <si>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</si>
  <si>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</si>
  <si>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</si>
  <si>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</si>
  <si>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</si>
  <si>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</si>
  <si>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</si>
  <si>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</si>
  <si>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</si>
  <si>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</si>
  <si>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</si>
  <si>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</si>
  <si>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</si>
  <si>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</si>
  <si>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</si>
  <si>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</si>
  <si>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</si>
  <si>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</si>
  <si>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</si>
  <si>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</si>
  <si>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</si>
  <si>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</si>
  <si>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</si>
  <si>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</si>
  <si>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</si>
  <si>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</si>
  <si>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</si>
  <si>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</si>
  <si>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</si>
  <si>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</si>
  <si>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</si>
  <si>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</si>
  <si>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</si>
  <si>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</si>
  <si>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</si>
  <si>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</si>
  <si>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</si>
  <si>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</si>
  <si>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</si>
  <si>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</si>
  <si>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</si>
  <si>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</si>
  <si>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</si>
  <si>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</si>
  <si>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</si>
  <si>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</si>
  <si>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</si>
  <si>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</si>
  <si>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</si>
  <si>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</si>
  <si>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</si>
  <si>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</si>
  <si>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</si>
  <si>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</si>
  <si>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</si>
  <si>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</si>
  <si>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</si>
  <si>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</si>
  <si>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</si>
  <si>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</si>
  <si>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</si>
  <si>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</si>
  <si>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</si>
  <si>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</si>
  <si>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</si>
  <si>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</si>
  <si>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</si>
  <si>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</si>
  <si>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</si>
  <si>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</si>
  <si>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</si>
  <si>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</si>
  <si>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</si>
  <si>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</si>
  <si>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</si>
  <si>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</si>
  <si>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</si>
  <si>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</si>
  <si>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</si>
  <si>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</si>
  <si>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</si>
  <si>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</si>
  <si>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</si>
  <si>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</si>
  <si>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</si>
  <si>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</si>
  <si>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</si>
  <si>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</si>
  <si>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</si>
  <si>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</si>
  <si>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</si>
  <si>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</si>
  <si>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</si>
  <si>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</si>
  <si>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</si>
  <si>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</si>
  <si>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</si>
  <si>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</si>
  <si>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</si>
  <si>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</si>
  <si>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</si>
  <si>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</si>
  <si>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</si>
  <si>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</si>
  <si>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</si>
  <si>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</si>
  <si>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</si>
  <si>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</si>
  <si>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</si>
  <si>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</si>
  <si>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</si>
  <si>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</si>
  <si>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</si>
  <si>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</si>
  <si>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</si>
  <si>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</si>
  <si>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</si>
  <si>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</si>
  <si>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</si>
  <si>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</si>
  <si>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</si>
  <si>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</si>
  <si>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</si>
  <si>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</si>
  <si>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</si>
  <si>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</si>
  <si>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</si>
  <si>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</si>
  <si>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</si>
  <si>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</si>
  <si>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</si>
  <si>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</si>
  <si>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</si>
  <si>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</si>
  <si>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</si>
  <si>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</si>
  <si>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</si>
  <si>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</si>
  <si>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</si>
  <si>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</si>
  <si>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</si>
  <si>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</si>
  <si>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</si>
  <si>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</si>
  <si>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</si>
  <si>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</si>
  <si>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</si>
  <si>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</si>
  <si>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</si>
  <si>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</si>
  <si>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</si>
  <si>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</si>
  <si>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</si>
  <si>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</si>
  <si>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</si>
  <si>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</si>
  <si>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</si>
  <si>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</si>
  <si>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</si>
  <si>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</si>
  <si>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</si>
  <si>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</si>
  <si>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</si>
  <si>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</si>
  <si>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</si>
  <si>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</si>
  <si>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</si>
  <si>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</si>
  <si>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</si>
  <si>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</si>
  <si>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</si>
  <si>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</si>
  <si>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</si>
  <si>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</si>
  <si>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</si>
  <si>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</si>
  <si>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</si>
  <si>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</si>
  <si>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</si>
  <si>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</si>
  <si>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</si>
  <si>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</si>
  <si>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</si>
  <si>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</si>
  <si>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</si>
  <si>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</si>
  <si>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</si>
  <si>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</si>
  <si>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</si>
  <si>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</si>
  <si>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</si>
  <si>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</si>
  <si>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</si>
  <si>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</si>
  <si>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</si>
  <si>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</si>
  <si>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</si>
  <si>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</si>
  <si>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</si>
  <si>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</si>
  <si>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</si>
  <si>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</si>
  <si>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</si>
  <si>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</si>
  <si>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</si>
  <si>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</si>
  <si>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</si>
  <si>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</si>
  <si>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</si>
  <si>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</si>
  <si>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</si>
  <si>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</si>
  <si>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</si>
  <si>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</si>
  <si>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</si>
  <si>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</si>
  <si>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</si>
  <si>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</si>
  <si>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</si>
  <si>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</si>
  <si>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</si>
  <si>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</si>
  <si>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</si>
  <si>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</si>
  <si>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</si>
  <si>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</si>
  <si>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</si>
  <si>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</si>
  <si>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</si>
  <si>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</si>
  <si>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</si>
  <si>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</si>
  <si>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</si>
  <si>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</si>
  <si>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</si>
  <si>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</si>
  <si>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</si>
  <si>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</si>
  <si>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</si>
  <si>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</si>
  <si>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</si>
  <si>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</si>
  <si>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</si>
  <si>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</si>
  <si>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</si>
  <si>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</si>
  <si>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</si>
  <si>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</si>
  <si>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</si>
  <si>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</si>
  <si>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</si>
  <si>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</si>
  <si>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</si>
  <si>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</si>
  <si>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</si>
  <si>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</si>
  <si>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</si>
  <si>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</si>
  <si>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</si>
  <si>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</si>
  <si>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</si>
  <si>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</si>
  <si>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</si>
  <si>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</si>
  <si>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</si>
  <si>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</si>
  <si>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</si>
  <si>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</si>
  <si>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</si>
  <si>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</si>
  <si>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</si>
  <si>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</si>
  <si>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</si>
  <si>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</si>
  <si>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</si>
  <si>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</si>
  <si>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</si>
  <si>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</si>
  <si>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600</t>
  </si>
  <si>
    <t>350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</si>
  <si>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</si>
  <si>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</si>
  <si>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</si>
  <si>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</si>
  <si>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</si>
  <si>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</si>
  <si>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</si>
  <si>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</si>
  <si>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</si>
  <si>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</si>
  <si>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</si>
  <si>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</si>
  <si>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</si>
  <si>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</si>
  <si>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</si>
  <si>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</si>
  <si>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</si>
  <si>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</si>
  <si>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</si>
  <si>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</si>
  <si>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</si>
  <si>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</si>
  <si>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</si>
  <si>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</si>
  <si>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</si>
  <si>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</si>
  <si>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</si>
  <si>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</si>
  <si>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</si>
  <si>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</si>
  <si>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</si>
  <si>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</si>
  <si>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</si>
  <si>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</si>
  <si>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</si>
  <si>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</si>
  <si>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</si>
  <si>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</si>
  <si>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</si>
  <si>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</si>
  <si>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</si>
  <si>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</si>
  <si>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</si>
  <si>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</si>
  <si>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</si>
  <si>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</si>
  <si>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</si>
  <si>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</si>
  <si>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</si>
  <si>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</si>
  <si>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</si>
  <si>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</si>
  <si>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</si>
  <si>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</si>
  <si>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</si>
  <si>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</si>
  <si>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JUMBO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</si>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</sst>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  <family val="2"/>
    </font>
    <font>
      <sz val="14"/>
      <color theme="1"/>
      <name val="Calibri"/>
      <family val="2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49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56" applyFont="1" fillId="16" applyFill="1" borderId="59" applyBorder="1" xfId="0" applyProtection="1" applyAlignment="1">
      <alignment vertical="center"/>
    </xf>
    <xf numFmtId="0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2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90" applyFont="1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165" applyNumberFormat="1" fontId="77" applyFont="1" fillId="7" applyFill="1" borderId="0" xfId="0" applyProtection="1" applyAlignment="1">
      <alignment horizontal="center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0" fontId="74" applyFont="1" fillId="0" borderId="0" xfId="0" applyProtection="1" applyAlignment="1">
      <alignment horizontal="center" vertical="center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0" fontId="0" fillId="16" applyFill="1" borderId="69" applyBorder="1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3" applyNumberFormat="1" fontId="75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top"/>
    </xf>
    <xf numFmtId="0" fontId="73" applyFont="1" fillId="16" applyFill="1" borderId="0" xfId="0" applyProtection="1" applyAlignment="1">
      <alignment horizontal="center" vertical="center" wrapText="1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1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3" applyNumberFormat="1" fontId="152" applyFont="1" fillId="16" applyFill="1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0" borderId="0" xfId="3" applyProtection="1" applyAlignment="1">
      <alignment horizontal="left"/>
    </xf>
    <xf numFmtId="0" fontId="4" applyFont="1" fillId="0" borderId="0" xfId="3" applyProtection="1" applyAlignment="1">
      <alignment horizontal="center"/>
    </xf>
    <xf numFmtId="0" fontId="7" applyFont="1" fillId="0" borderId="0" xfId="3" applyProtection="1" applyAlignment="1">
      <alignment horizontal="left" wrapText="1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24" applyFont="1" fillId="0" borderId="0" xfId="3" applyProtection="1" applyAlignment="1">
      <alignment horizontal="left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4" applyFont="1" fillId="25" applyFill="1" borderId="5" applyBorder="1" xfId="3" applyProtection="1" applyAlignment="1">
      <alignment horizontal="center" vertical="center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7" formatCode="_(* #,##0.00_);_(* \(#,##0.00\);_(* &quot;-&quot;??_);_(@_)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4</xdr:col>
          <xdr:colOff>923925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4</xdr:col>
          <xdr:colOff>923925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4</xdr:col>
          <xdr:colOff>923925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4</xdr:col>
          <xdr:colOff>923925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4</xdr:col>
          <xdr:colOff>923925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4</xdr:col>
          <xdr:colOff>923925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4</xdr:col>
          <xdr:colOff>923925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0" totalsRowDxfId="254"/>
    <tableColumn id="2" xr3:uid="{00000000-0010-0000-0400-000002000000}" name="عدد" dataDxfId="1620" totalsRowDxfId="16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620" totalsRowDxfId="1621"/>
    <tableColumn id="11" xr3:uid="{00000000-0010-0000-0400-00000B000000}" name="Column2" dataDxfId="1620" totalsRowDxfId="1621"/>
    <tableColumn id="10" xr3:uid="{00000000-0010-0000-0400-00000A000000}" name="Column1" dataDxfId="1620" totalsRowDxfId="1621"/>
    <tableColumn id="12" xr3:uid="{00000000-0010-0000-0400-00000C000000}" name="المسطح" totalsRowFunction="sum" dataDxfId="8" totalsRowDxfId="259">
      <calculatedColumnFormula>(Table1[[#This Row],[Column1]]+Table1[[#This Row],[Column2]])*12*Table1[[#This Row],[عدد]]</calculatedColumnFormula>
    </tableColumn>
    <tableColumn id="4" xr3:uid="{00000000-0010-0000-0400-000004000000}" name="الوحده" dataDxfId="1620" totalsRowDxfId="1621"/>
    <tableColumn id="5" xr3:uid="{00000000-0010-0000-0400-000005000000}" name="الوزن" totalsRowFunction="custom" totalsRowDxfId="1621">
      <totalsRowFormula>(H6*B6)+(H8*B8)+(H7*B7)</totalsRowFormula>
    </tableColumn>
    <tableColumn id="6" xr3:uid="{00000000-0010-0000-0400-000006000000}" name="مسطح" dataDxfId="255" totalsRowDxfId="1621"/>
    <tableColumn id="7" xr3:uid="{00000000-0010-0000-0400-000007000000}" name="سعر الشبك " dataDxfId="327" totalsRowDxfId="252">
      <calculatedColumnFormula>H6*$H$2/1000</calculatedColumnFormula>
    </tableColumn>
    <tableColumn id="8" xr3:uid="{00000000-0010-0000-0400-000008000000}" name="اجمالي" totalsRowFunction="sum" dataDxfId="2" totalsRowDxfId="250">
      <calculatedColumnFormula>B6*J6</calculatedColumnFormula>
    </tableColumn>
    <tableColumn id="9" xr3:uid="{00000000-0010-0000-0400-000009000000}" name="%" totalsRowFunction="custom" totalsRowDxfId="249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36"/>
    <tableColumn id="2" xr3:uid="{00000000-0010-0000-5E00-000002000000}" name="عدد" dataDxfId="1641">
      <calculatedColumnFormula>IF((BL62="الاسكندرية"),0.25,0.1)</calculatedColumnFormula>
    </tableColumn>
    <tableColumn id="3" xr3:uid="{00000000-0010-0000-5E00-000003000000}" name="بيان" totalsRowLabel="Total" dataDxfId="1636"/>
    <tableColumn id="11" xr3:uid="{00000000-0010-0000-5E00-00000B000000}" name="Column2" dataDxfId="1636"/>
    <tableColumn id="10" xr3:uid="{00000000-0010-0000-5E00-00000A000000}" name="Column1" dataDxfId="1636"/>
    <tableColumn id="12" xr3:uid="{00000000-0010-0000-5E00-00000C000000}" name="Column12" totalsRowFunction="sum" dataDxfId="1652"/>
    <tableColumn id="4" xr3:uid="{00000000-0010-0000-5E00-000004000000}" name="الوحده" dataDxfId="1637"/>
    <tableColumn id="5" xr3:uid="{00000000-0010-0000-5E00-000005000000}" name="الوزن" dataDxfId="1636"/>
    <tableColumn id="6" xr3:uid="{00000000-0010-0000-5E00-000006000000}" name="سعر الكيلو" dataDxfId="1636"/>
    <tableColumn id="7" xr3:uid="{00000000-0010-0000-5E00-000007000000}" name="سعر الشبك " dataDxfId="1646">
      <calculatedColumnFormula>BQ45</calculatedColumnFormula>
    </tableColumn>
    <tableColumn id="8" xr3:uid="{00000000-0010-0000-5E00-000008000000}" name="اجمالي" totalsRowFunction="sum" dataDxfId="16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35"/>
    <tableColumn id="2" xr3:uid="{00000000-0010-0000-5F00-000002000000}" name="خارجي" dataDxfId="1635"/>
    <tableColumn id="3" xr3:uid="{00000000-0010-0000-5F00-000003000000}" name="داخلي" dataDxfId="1635"/>
    <tableColumn id="4" xr3:uid="{00000000-0010-0000-5F00-000004000000}" name="بدل الوجبة" dataDxfId="1635"/>
    <tableColumn id="5" xr3:uid="{00000000-0010-0000-5F00-000005000000}" name="دبابة" dataDxfId="1635"/>
    <tableColumn id="6" xr3:uid="{00000000-0010-0000-5F00-000006000000}" name="جامبو" dataDxfId="1635"/>
    <tableColumn id="7" xr3:uid="{00000000-0010-0000-5F00-000007000000}" name="الاقامة" dataDxfId="163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36"/>
    <tableColumn id="4" xr3:uid="{00000000-0010-0000-6000-000004000000}" name="Column22" dataDxfId="1636"/>
    <tableColumn id="5" xr3:uid="{00000000-0010-0000-6000-000005000000}" name="Column23" dataDxfId="1636"/>
    <tableColumn id="3" xr3:uid="{00000000-0010-0000-6000-000003000000}" name="Column3" dataDxfId="16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20" totalsRowDxfId="1621"/>
    <tableColumn id="2" xr3:uid="{00000000-0010-0000-6100-000002000000}" name="عدد" dataDxfId="1620" totalsRowDxfId="1621"/>
    <tableColumn id="3" xr3:uid="{00000000-0010-0000-6100-000003000000}" name="بيان" totalsRowLabel="Total" dataDxfId="1620" totalsRowDxfId="1621"/>
    <tableColumn id="11" xr3:uid="{00000000-0010-0000-6100-00000B000000}" name="Column2" dataDxfId="1620" totalsRowDxfId="1621"/>
    <tableColumn id="10" xr3:uid="{00000000-0010-0000-6100-00000A000000}" name="Column1" dataDxfId="1620" totalsRowDxfId="1621"/>
    <tableColumn id="12" xr3:uid="{00000000-0010-0000-6100-00000C000000}" name="المسطح" totalsRowFunction="sum" dataDxfId="1626" totalsRowDxfId="16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20" totalsRowDxfId="1621"/>
    <tableColumn id="5" xr3:uid="{00000000-0010-0000-6100-000005000000}" name="الوزن" totalsRowFunction="custom" totalsRowDxfId="1621">
      <totalsRowFormula>(BN6*BH6)+(BN7*BG7)+(BN8*BG8)+(BN9*BG9)</totalsRowFormula>
    </tableColumn>
    <tableColumn id="6" xr3:uid="{00000000-0010-0000-6100-000006000000}" name="اجمالي المسطح" totalsRowFunction="sum" dataDxfId="1623" totalsRowDxfId="1621">
      <calculatedColumnFormula>Table1588090[[#This Row],[المسطح]]*Table1588090[[#This Row],[عدد]]</calculatedColumnFormula>
    </tableColumn>
    <tableColumn id="7" xr3:uid="{00000000-0010-0000-6100-000007000000}" name="سعر الشبك " dataDxfId="1655" totalsRowDxfId="1632">
      <calculatedColumnFormula>BN6*$S$2/1000</calculatedColumnFormula>
    </tableColumn>
    <tableColumn id="8" xr3:uid="{00000000-0010-0000-6100-000008000000}" name="اجمالي" totalsRowFunction="sum" dataDxfId="1625" totalsRowDxfId="1633">
      <calculatedColumnFormula>BH6*BP6</calculatedColumnFormula>
    </tableColumn>
    <tableColumn id="9" xr3:uid="{00000000-0010-0000-6100-000009000000}" name="%" totalsRowFunction="custom" totalsRowDxfId="163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39" totalsRowDxfId="247"/>
    <tableColumn id="2" xr3:uid="{00000000-0010-0000-6200-000002000000}" name="عدد" totalsRowFunction="custom" totalsRowDxfId="246">
      <totalsRowFormula>(Table8091[[#Totals],[price]]*1.1)/(BA1*AY1/10000)</totalsRowFormula>
    </tableColumn>
    <tableColumn id="3" xr3:uid="{00000000-0010-0000-6200-000003000000}" name="طول" dataDxfId="1665" totalsRowDxfId="238"/>
    <tableColumn id="4" xr3:uid="{00000000-0010-0000-6200-000004000000}" name="Column2" dataDxfId="1665" totalsRowDxfId="1666"/>
    <tableColumn id="5" xr3:uid="{00000000-0010-0000-6200-000005000000}" name="wt/m" dataDxfId="1665" totalsRowDxfId="1666"/>
    <tableColumn id="6" xr3:uid="{00000000-0010-0000-6200-000006000000}" name="price" totalsRowFunction="sum" dataDxfId="1665" totalsRowDxfId="1666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20" totalsRowDxfId="1622"/>
    <tableColumn id="2" xr3:uid="{00000000-0010-0000-6300-000002000000}" name="عدد" dataDxfId="1623" totalsRowDxfId="162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20" totalsRowDxfId="1622"/>
    <tableColumn id="11" xr3:uid="{00000000-0010-0000-6300-00000B000000}" name="Column2" dataDxfId="1620" totalsRowDxfId="1622"/>
    <tableColumn id="10" xr3:uid="{00000000-0010-0000-6300-00000A000000}" name="Column1" dataDxfId="1620" totalsRowDxfId="1622"/>
    <tableColumn id="12" xr3:uid="{00000000-0010-0000-6300-00000C000000}" name="Column12" dataDxfId="1620" totalsRowDxfId="1622"/>
    <tableColumn id="4" xr3:uid="{00000000-0010-0000-6300-000004000000}" name="الوحده" totalsRowLabel="total" dataDxfId="1620" totalsRowDxfId="1622"/>
    <tableColumn id="5" xr3:uid="{00000000-0010-0000-6300-000005000000}" name="الوزن" dataDxfId="1620" totalsRowDxfId="1622"/>
    <tableColumn id="6" xr3:uid="{00000000-0010-0000-6300-000006000000}" name="سعر الكيلو" dataDxfId="1620" totalsRowDxfId="1622"/>
    <tableColumn id="7" xr3:uid="{00000000-0010-0000-6300-000007000000}" name="سعر الشبك " dataDxfId="1624" totalsRowDxfId="1628">
      <calculatedColumnFormula>BP28</calculatedColumnFormula>
    </tableColumn>
    <tableColumn id="8" xr3:uid="{00000000-0010-0000-6300-000008000000}" name="اجمالي" totalsRowFunction="sum" dataDxfId="1625" totalsRowDxfId="1629">
      <calculatedColumnFormula>BH98*BP99</calculatedColumnFormula>
    </tableColumn>
    <tableColumn id="9" xr3:uid="{00000000-0010-0000-6300-000009000000}" name="%" totalsRowFunction="custom" totalsRowDxfId="16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20" totalsRowDxfId="1621"/>
    <tableColumn id="2" xr3:uid="{00000000-0010-0000-6400-000002000000}" name="عدد" dataDxfId="1623" totalsRowDxfId="1621">
      <calculatedColumnFormula>IF((#REF!="بالتات"),0,4)</calculatedColumnFormula>
    </tableColumn>
    <tableColumn id="3" xr3:uid="{00000000-0010-0000-6400-000003000000}" name="بيان" totalsRowLabel="Total" dataDxfId="1620" totalsRowDxfId="1621"/>
    <tableColumn id="11" xr3:uid="{00000000-0010-0000-6400-00000B000000}" name="Column2" dataDxfId="1620" totalsRowDxfId="1621"/>
    <tableColumn id="10" xr3:uid="{00000000-0010-0000-6400-00000A000000}" name="Column1" dataDxfId="1620" totalsRowDxfId="1621"/>
    <tableColumn id="12" xr3:uid="{00000000-0010-0000-6400-00000C000000}" name="Column12" dataDxfId="1626" totalsRowDxfId="1631"/>
    <tableColumn id="4" xr3:uid="{00000000-0010-0000-6400-000004000000}" name="الوحده" dataDxfId="1620" totalsRowDxfId="1621"/>
    <tableColumn id="5" xr3:uid="{00000000-0010-0000-6400-000005000000}" name="الوزن" dataDxfId="1620" totalsRowDxfId="1621"/>
    <tableColumn id="6" xr3:uid="{00000000-0010-0000-6400-000006000000}" name="سعر الكيلو" dataDxfId="1620" totalsRowDxfId="1621"/>
    <tableColumn id="7" xr3:uid="{00000000-0010-0000-6400-000007000000}" name="سعر الشبك " dataDxfId="1646" totalsRowDxfId="1632">
      <calculatedColumnFormula>Sheet2!AW26</calculatedColumnFormula>
    </tableColumn>
    <tableColumn id="8" xr3:uid="{00000000-0010-0000-6400-000008000000}" name="اجمالي" totalsRowFunction="sum" dataDxfId="1625" totalsRowDxfId="1633">
      <calculatedColumnFormula>BH84*BP84</calculatedColumnFormula>
    </tableColumn>
    <tableColumn id="9" xr3:uid="{00000000-0010-0000-6400-000009000000}" name="%" totalsRowFunction="custom" totalsRowDxfId="163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20"/>
    <tableColumn id="2" xr3:uid="{00000000-0010-0000-6500-000002000000}" name="عدد" totalsRowFunction="sum" dataDxfId="1620">
      <calculatedColumnFormula>BH90*4</calculatedColumnFormula>
    </tableColumn>
    <tableColumn id="3" xr3:uid="{00000000-0010-0000-6500-000003000000}" name="بيان" totalsRowLabel="Total" dataDxfId="1620"/>
    <tableColumn id="11" xr3:uid="{00000000-0010-0000-6500-00000B000000}" name="Column2" dataDxfId="1620"/>
    <tableColumn id="10" xr3:uid="{00000000-0010-0000-6500-00000A000000}" name="Column1" dataDxfId="1620"/>
    <tableColumn id="12" xr3:uid="{00000000-0010-0000-6500-00000C000000}" name="Column12" totalsRowFunction="sum" dataDxfId="1626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23"/>
    <tableColumn id="7" xr3:uid="{00000000-0010-0000-6500-000007000000}" name="سعر الشبك " dataDxfId="1624">
      <calculatedColumnFormula>BN92*$S$2/1000</calculatedColumnFormula>
    </tableColumn>
    <tableColumn id="8" xr3:uid="{00000000-0010-0000-6500-000008000000}" name="اجمالي" totalsRowFunction="sum" dataDxfId="16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35"/>
    <tableColumn id="2" xr3:uid="{00000000-0010-0000-6600-000002000000}" name="المعدل" dataDxfId="1635"/>
    <tableColumn id="3" xr3:uid="{00000000-0010-0000-6600-000003000000}" name="الوحدة" dataDxfId="1635"/>
    <tableColumn id="4" xr3:uid="{00000000-0010-0000-6600-000004000000}" name="Column4" dataDxfId="1642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35"/>
    <tableColumn id="2" xr3:uid="{00000000-0010-0000-6700-000002000000}" name="Column2" dataDxfId="1642"/>
    <tableColumn id="3" xr3:uid="{00000000-0010-0000-6700-000003000000}" name="Column3" dataDxfId="1635"/>
    <tableColumn id="4" xr3:uid="{00000000-0010-0000-6700-000004000000}" name="Column4" dataDxfId="1635"/>
    <tableColumn id="5" xr3:uid="{00000000-0010-0000-6700-000005000000}" name="Column5" dataDxfId="163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20" totalsRowDxfId="1622"/>
    <tableColumn id="2" xr3:uid="{00000000-0010-0000-0500-000002000000}" name="عدد" dataDxfId="1623" totalsRowDxfId="162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20" totalsRowDxfId="1622"/>
    <tableColumn id="11" xr3:uid="{00000000-0010-0000-0500-00000B000000}" name="Column2" dataDxfId="1620" totalsRowDxfId="1622"/>
    <tableColumn id="10" xr3:uid="{00000000-0010-0000-0500-00000A000000}" name="Column1" dataDxfId="1620" totalsRowDxfId="1622"/>
    <tableColumn id="12" xr3:uid="{00000000-0010-0000-0500-00000C000000}" name="Column12" dataDxfId="1620" totalsRowDxfId="1622"/>
    <tableColumn id="4" xr3:uid="{00000000-0010-0000-0500-000004000000}" name="الوحده" totalsRowLabel="total" dataDxfId="1620" totalsRowDxfId="1622"/>
    <tableColumn id="5" xr3:uid="{00000000-0010-0000-0500-000005000000}" name="الوزن" dataDxfId="1620" totalsRowDxfId="1622"/>
    <tableColumn id="6" xr3:uid="{00000000-0010-0000-0500-000006000000}" name="سعر الكيلو" dataDxfId="1620" totalsRowDxfId="1622"/>
    <tableColumn id="7" xr3:uid="{00000000-0010-0000-0500-000007000000}" name="سعر الشبك " dataDxfId="1624" totalsRowDxfId="3">
      <calculatedColumnFormula>Sheet2!B8</calculatedColumnFormula>
    </tableColumn>
    <tableColumn id="8" xr3:uid="{00000000-0010-0000-0500-000008000000}" name="اجمالي" totalsRowFunction="sum" dataDxfId="1625" totalsRowDxfId="1">
      <calculatedColumnFormula>B35*J35</calculatedColumnFormula>
    </tableColumn>
    <tableColumn id="9" xr3:uid="{00000000-0010-0000-0500-000009000000}" name="%" totalsRowFunction="custom" totalsRowDxfId="0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20" totalsRowDxfId="1622"/>
    <tableColumn id="2" xr3:uid="{00000000-0010-0000-6800-000002000000}" name="عدد" dataDxfId="1641" totalsRowDxfId="1622">
      <calculatedColumnFormula>IF((تسعير!$AU$14="بالتات"),0,BH119-2)</calculatedColumnFormula>
    </tableColumn>
    <tableColumn id="3" xr3:uid="{00000000-0010-0000-6800-000003000000}" name="بيان" totalsRowLabel="Total" dataDxfId="1638" totalsRowDxfId="1622"/>
    <tableColumn id="5" xr3:uid="{00000000-0010-0000-6800-000005000000}" name="اليومية / الاجرة" dataDxfId="1638" totalsRowDxfId="1622"/>
    <tableColumn id="6" xr3:uid="{00000000-0010-0000-6800-000006000000}" name="بدل الوجبة" dataDxfId="1639" totalsRowDxfId="1622"/>
    <tableColumn id="11" xr3:uid="{00000000-0010-0000-6800-00000B000000}" name="موقع العمل" dataDxfId="1636" totalsRowDxfId="1622">
      <calculatedColumnFormula>تسعير!$BE$44</calculatedColumnFormula>
    </tableColumn>
    <tableColumn id="10" xr3:uid="{00000000-0010-0000-6800-00000A000000}" name="شيفت العمل" dataDxfId="1620" totalsRowDxfId="1622"/>
    <tableColumn id="12" xr3:uid="{00000000-0010-0000-6800-00000C000000}" name="Column12" totalsRowFunction="sum" dataDxfId="1626" totalsRowDxfId="1627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47" totalsRowDxfId="1622"/>
    <tableColumn id="7" xr3:uid="{00000000-0010-0000-6800-000007000000}" name="اجمالي التكلفة للعامل" dataDxfId="1648" totalsRowDxfId="1628">
      <calculatedColumnFormula>Table1612677697108[[#This Row],[Column12]]</calculatedColumnFormula>
    </tableColumn>
    <tableColumn id="8" xr3:uid="{00000000-0010-0000-6800-000008000000}" name="اجمالي" totalsRowFunction="sum" dataDxfId="1625" totalsRowDxfId="1629">
      <calculatedColumnFormula>BH122*BP122</calculatedColumnFormula>
    </tableColumn>
    <tableColumn id="9" xr3:uid="{00000000-0010-0000-6800-000009000000}" name="%" totalsRowFunction="custom" totalsRowDxfId="163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36"/>
    <tableColumn id="2" xr3:uid="{00000000-0010-0000-6900-000002000000}" name="عدد" dataDxfId="1641">
      <calculatedColumnFormula>IF((BL133="الاسكندرية"),0.25,0.1)</calculatedColumnFormula>
    </tableColumn>
    <tableColumn id="3" xr3:uid="{00000000-0010-0000-6900-000003000000}" name="بيان" totalsRowLabel="Total" dataDxfId="1636"/>
    <tableColumn id="11" xr3:uid="{00000000-0010-0000-6900-00000B000000}" name="Column2" dataDxfId="1636"/>
    <tableColumn id="10" xr3:uid="{00000000-0010-0000-6900-00000A000000}" name="Column1" dataDxfId="1636"/>
    <tableColumn id="12" xr3:uid="{00000000-0010-0000-6900-00000C000000}" name="Column12" totalsRowFunction="sum" dataDxfId="1652"/>
    <tableColumn id="4" xr3:uid="{00000000-0010-0000-6900-000004000000}" name="الوحده" dataDxfId="1637"/>
    <tableColumn id="5" xr3:uid="{00000000-0010-0000-6900-000005000000}" name="الوزن" dataDxfId="1636"/>
    <tableColumn id="6" xr3:uid="{00000000-0010-0000-6900-000006000000}" name="سعر الكيلو" dataDxfId="1636"/>
    <tableColumn id="7" xr3:uid="{00000000-0010-0000-6900-000007000000}" name="سعر الشبك " dataDxfId="1646">
      <calculatedColumnFormula>BQ116</calculatedColumnFormula>
    </tableColumn>
    <tableColumn id="8" xr3:uid="{00000000-0010-0000-6900-000008000000}" name="اجمالي" totalsRowFunction="sum" dataDxfId="16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35"/>
    <tableColumn id="2" xr3:uid="{00000000-0010-0000-6A00-000002000000}" name="خارجي" dataDxfId="1635"/>
    <tableColumn id="3" xr3:uid="{00000000-0010-0000-6A00-000003000000}" name="داخلي" dataDxfId="1635"/>
    <tableColumn id="4" xr3:uid="{00000000-0010-0000-6A00-000004000000}" name="بدل الوجبة" dataDxfId="1635"/>
    <tableColumn id="5" xr3:uid="{00000000-0010-0000-6A00-000005000000}" name="دبابة" dataDxfId="1635"/>
    <tableColumn id="6" xr3:uid="{00000000-0010-0000-6A00-000006000000}" name="جامبو" dataDxfId="1635"/>
    <tableColumn id="7" xr3:uid="{00000000-0010-0000-6A00-000007000000}" name="الاقامة" dataDxfId="163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36"/>
    <tableColumn id="4" xr3:uid="{00000000-0010-0000-6B00-000004000000}" name="Column22" dataDxfId="1636"/>
    <tableColumn id="5" xr3:uid="{00000000-0010-0000-6B00-000005000000}" name="Column23" dataDxfId="1636"/>
    <tableColumn id="3" xr3:uid="{00000000-0010-0000-6B00-000003000000}" name="Column3" dataDxfId="16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20" totalsRowDxfId="1621"/>
    <tableColumn id="2" xr3:uid="{00000000-0010-0000-6C00-000002000000}" name="عدد" dataDxfId="1620" totalsRowDxfId="16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20" totalsRowDxfId="1621"/>
    <tableColumn id="11" xr3:uid="{00000000-0010-0000-6C00-00000B000000}" name="Column2" dataDxfId="1620" totalsRowDxfId="1621"/>
    <tableColumn id="10" xr3:uid="{00000000-0010-0000-6C00-00000A000000}" name="Column1" dataDxfId="1620" totalsRowDxfId="1621"/>
    <tableColumn id="12" xr3:uid="{00000000-0010-0000-6C00-00000C000000}" name="المسطح" totalsRowFunction="sum" dataDxfId="1626" totalsRowDxfId="16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20" totalsRowDxfId="1621"/>
    <tableColumn id="5" xr3:uid="{00000000-0010-0000-6C00-000005000000}" name="الوزن" totalsRowFunction="custom" totalsRowDxfId="1621">
      <totalsRowFormula>(BN76*BH76)+(BN77*BH77)+(BN78*BH78)+(BN79*BH79)</totalsRowFormula>
    </tableColumn>
    <tableColumn id="6" xr3:uid="{00000000-0010-0000-6C00-000006000000}" name="اجمالي المسطح" totalsRowFunction="sum" dataDxfId="1623" totalsRowDxfId="1621">
      <calculatedColumnFormula>Table15880101112[[#This Row],[المسطح]]*Table15880101112[[#This Row],[عدد]]</calculatedColumnFormula>
    </tableColumn>
    <tableColumn id="7" xr3:uid="{00000000-0010-0000-6C00-000007000000}" name="سعر الشبك " dataDxfId="1655" totalsRowDxfId="1632">
      <calculatedColumnFormula>BN76*$S$2/1000</calculatedColumnFormula>
    </tableColumn>
    <tableColumn id="8" xr3:uid="{00000000-0010-0000-6C00-000008000000}" name="اجمالي" totalsRowFunction="sum" dataDxfId="1625" totalsRowDxfId="1633">
      <calculatedColumnFormula>BH76*BP76</calculatedColumnFormula>
    </tableColumn>
    <tableColumn id="9" xr3:uid="{00000000-0010-0000-6C00-000009000000}" name="%" totalsRowFunction="custom" totalsRowDxfId="163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65" totalsRowDxfId="1667"/>
    <tableColumn id="2" xr3:uid="{00000000-0010-0000-6D00-000002000000}" name="عدد" totalsRowFunction="custom" totalsRowDxfId="1668">
      <totalsRowFormula>(Table80102113[[#Totals],[price]]*1.1)/(BA72*AY72/10000)</totalsRowFormula>
    </tableColumn>
    <tableColumn id="3" xr3:uid="{00000000-0010-0000-6D00-000003000000}" name="طول" dataDxfId="1665" totalsRowDxfId="1666"/>
    <tableColumn id="4" xr3:uid="{00000000-0010-0000-6D00-000004000000}" name="Column2" dataDxfId="1665" totalsRowDxfId="1666"/>
    <tableColumn id="5" xr3:uid="{00000000-0010-0000-6D00-000005000000}" name="wt/m" dataDxfId="1665" totalsRowDxfId="1666"/>
    <tableColumn id="6" xr3:uid="{00000000-0010-0000-6D00-000006000000}" name="price" totalsRowFunction="sum" dataDxfId="1665" totalsRowDxfId="1666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13" dataDxfId="100" totalsRowDxfId="111">
  <autoFilter ref="A2:F23" xr:uid="{00000000-0009-0000-0100-000071000000}"/>
  <tableColumns count="6">
    <tableColumn id="1" xr3:uid="{00000000-0010-0000-6E00-000001000000}" name="Column1" totalsRowLabel="Total" dataDxfId="1669" totalsRowDxfId="109"/>
    <tableColumn id="2" xr3:uid="{00000000-0010-0000-6E00-000002000000}" name="عدد" totalsRowFunction="custom" dataDxfId="1669" totalsRowDxfId="107">
      <totalsRowFormula>(Table80102114[[#Totals],[price]]*1.1)/(F1*D1/10000)</totalsRowFormula>
    </tableColumn>
    <tableColumn id="3" xr3:uid="{00000000-0010-0000-6E00-000003000000}" name="طول" dataDxfId="1669" totalsRowDxfId="99"/>
    <tableColumn id="4" xr3:uid="{00000000-0010-0000-6E00-000004000000}" name="Column2" dataDxfId="1669" totalsRowDxfId="1670"/>
    <tableColumn id="5" xr3:uid="{00000000-0010-0000-6E00-000005000000}" name="wt/m" dataDxfId="1669" totalsRowDxfId="1670"/>
    <tableColumn id="6" xr3:uid="{00000000-0010-0000-6E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671" dataDxfId="1669" totalsRowDxfId="1672">
  <autoFilter ref="A75:F96" xr:uid="{00000000-0009-0000-0100-000072000000}"/>
  <tableColumns count="6">
    <tableColumn id="1" xr3:uid="{00000000-0010-0000-6F00-000001000000}" name="Column1" totalsRowLabel="Total" dataDxfId="1669" totalsRowDxfId="1673"/>
    <tableColumn id="2" xr3:uid="{00000000-0010-0000-6F00-000002000000}" name="عدد" totalsRowFunction="custom" dataDxfId="1669" totalsRowDxfId="1674">
      <totalsRowFormula>(Table80102114115[[#Totals],[price]]*1.1)/(F74*D74/10000)</totalsRowFormula>
    </tableColumn>
    <tableColumn id="3" xr3:uid="{00000000-0010-0000-6F00-000003000000}" name="طول" dataDxfId="1669" totalsRowDxfId="1670"/>
    <tableColumn id="4" xr3:uid="{00000000-0010-0000-6F00-000004000000}" name="Column2" dataDxfId="1669" totalsRowDxfId="1670"/>
    <tableColumn id="5" xr3:uid="{00000000-0010-0000-6F00-000005000000}" name="wt/m" dataDxfId="1669" totalsRowDxfId="1670"/>
    <tableColumn id="6" xr3:uid="{00000000-0010-0000-6F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201">
  <autoFilter ref="B2:F3" xr:uid="{6E284D28-C3AA-4BF5-AA47-75599B0A856C}"/>
  <tableColumns count="5">
    <tableColumn id="1" xr3:uid="{F05C6A66-F43A-449F-8365-F848C3E3FCF4}" name="المنتج" dataDxfId="1675">
      <calculatedColumnFormula>تسعير!AH46</calculatedColumnFormula>
    </tableColumn>
    <tableColumn id="2" xr3:uid="{0CEFF7DA-9167-4759-90A5-641D43832BD8}" name="العرض" dataDxfId="1675">
      <calculatedColumnFormula>تسعير!AI46</calculatedColumnFormula>
    </tableColumn>
    <tableColumn id="3" xr3:uid="{8920483F-B230-4954-B6EB-299A021EF592}" name="الامتداد" dataDxfId="1675">
      <calculatedColumnFormula>تسعير!AJ46</calculatedColumnFormula>
    </tableColumn>
    <tableColumn id="4" xr3:uid="{07EB60AF-C006-4964-9A4B-3B79BB8020B0}" name="لون الشاسية" dataDxfId="1675">
      <calculatedColumnFormula>تسعير!AK46</calculatedColumnFormula>
    </tableColumn>
    <tableColumn id="5" xr3:uid="{E7DFD066-5983-4486-B7BE-468171A981A3}" name="لون اللوفرز" dataDxfId="1675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21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20"/>
    <tableColumn id="2" xr3:uid="{00000000-0010-0000-0600-000002000000}" name="عدد" dataDxfId="16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20"/>
    <tableColumn id="11" xr3:uid="{00000000-0010-0000-0600-00000B000000}" name="Column2" dataDxfId="1620"/>
    <tableColumn id="10" xr3:uid="{00000000-0010-0000-0600-00000A000000}" name="Column1" dataDxfId="1620"/>
    <tableColumn id="12" xr3:uid="{00000000-0010-0000-0600-00000C000000}" name="Column12" totalsRowFunction="sum" dataDxfId="1623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23">
      <calculatedColumnFormula>Table14[[#This Row],[Column12]]*Table14[[#This Row],[عدد]]</calculatedColumnFormula>
    </tableColumn>
    <tableColumn id="7" xr3:uid="{00000000-0010-0000-0600-000007000000}" name="سعر الشبك " dataDxfId="1624">
      <calculatedColumnFormula>H12*$I$2/1000</calculatedColumnFormula>
    </tableColumn>
    <tableColumn id="8" xr3:uid="{00000000-0010-0000-0600-000008000000}" name="اجمالي" totalsRowFunction="sum" dataDxfId="16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671" dataDxfId="1669" totalsRowDxfId="1672">
  <autoFilter ref="B14:G35" xr:uid="{01F8C92F-369B-4B5C-B07A-DC67DD79B1FC}"/>
  <tableColumns count="6">
    <tableColumn id="1" xr3:uid="{BF4333B4-59C0-4EE4-89B9-FEED8A8A131D}" name="Column1" totalsRowLabel="Total" dataDxfId="1669" totalsRowDxfId="1673"/>
    <tableColumn id="2" xr3:uid="{20C39B5D-0F6B-4807-8E24-DD5BBEDC42F4}" name="عدد" totalsRowFunction="custom" dataDxfId="1669" totalsRowDxfId="1674">
      <totalsRowFormula>(Table80102[[#Totals],[price]]*1.1)/(E13*C13/10000)</totalsRowFormula>
    </tableColumn>
    <tableColumn id="3" xr3:uid="{45234998-15CC-4591-990E-6C40A423CF54}" name="طول" dataDxfId="1669" totalsRowDxfId="1670"/>
    <tableColumn id="4" xr3:uid="{4A1E2D76-BA68-478E-A8B0-68B9239E9C44}" name="Column2" dataDxfId="1669" totalsRowDxfId="1670"/>
    <tableColumn id="5" xr3:uid="{41823737-EC82-4CC7-8E7F-BF2A359EB0F1}" name="wt/m" dataDxfId="1669" totalsRowDxfId="1670"/>
    <tableColumn id="6" xr3:uid="{31A18015-9562-44BD-ACB0-8D06980C4071}" name="price" totalsRowFunction="sum" dataDxfId="1669" totalsRowDxfId="1670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61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672" dataDxfId="1672" totalsRowDxfId="1672">
  <autoFilter ref="B51:P62" xr:uid="{4C7667DF-9D42-41A5-B6E6-118E1FCFA63B}"/>
  <tableColumns count="15">
    <tableColumn id="1" xr3:uid="{369A167F-428C-4461-9DBD-A58A66BAF9A7}" name="قطاعات الألومنيوم " totalsRowLabel="Total" dataDxfId="156" totalsRowDxfId="155" dataCellStyle="Normal 2"/>
    <tableColumn id="2" xr3:uid="{56469A33-367D-427E-BB32-FC4196143BB2}" name="عدد " dataDxfId="154" totalsRowDxfId="153" dataCellStyle="Normal 2"/>
    <tableColumn id="3" xr3:uid="{0CE9ADFD-132C-485C-98C6-EC1A18524D7C}" name="طول بالسنتيمتر " dataDxfId="152" totalsRowDxfId="151" dataCellStyle="Normal 2"/>
    <tableColumn id="4" xr3:uid="{506E5DEA-3439-4ADC-80C2-4611AF278237}" name="1" dataDxfId="115" totalsRowDxfId="1627" dataCellStyle="Normal 2"/>
    <tableColumn id="5" xr3:uid="{1115AC2C-AEA0-4516-AD56-DAAF56E2D143}" name="2" dataDxfId="1676" totalsRowDxfId="1627" dataCellStyle="Normal 2"/>
    <tableColumn id="6" xr3:uid="{6BEE7943-4AF3-40C5-8F21-5AF96C9F6E7E}" name="3" dataDxfId="146" totalsRowDxfId="1627" dataCellStyle="Normal 2"/>
    <tableColumn id="14" xr3:uid="{C339D900-5713-413C-BEA2-B416B483EECB}" name="4" dataDxfId="140" totalsRowDxfId="1627" dataCellStyle="Normal 2">
      <calculatedColumnFormula>IF(D52&gt;350,4,0)</calculatedColumnFormula>
    </tableColumn>
    <tableColumn id="13" xr3:uid="{64E4A22B-DF40-44E4-9B52-1CA2155D6B8D}" name="5" dataDxfId="1677" totalsRowDxfId="1627" dataCellStyle="Normal 2">
      <calculatedColumnFormula>IF(D52&gt;350,4,0)</calculatedColumnFormula>
    </tableColumn>
    <tableColumn id="15" xr3:uid="{15F67072-09CF-48A5-9489-ED271AD7F8A3}" name="6" dataDxfId="1677" totalsRowDxfId="1627" dataCellStyle="Normal 2"/>
    <tableColumn id="7" xr3:uid="{D610E8C1-D47D-44FA-8593-8C1C46E4FC43}" name="اختيار" dataDxfId="1676" totalsRowDxfId="1627" dataCellStyle="Normal 2"/>
    <tableColumn id="8" xr3:uid="{96BFA68C-4B20-4323-988C-5F46D6C1E6D2}" name="التقطيع" dataDxfId="136" totalsRowDxfId="1627" dataCellStyle="Normal 2"/>
    <tableColumn id="9" xr3:uid="{5C4B63B7-714C-476F-BDE3-A5940DE8B0EE}" name="بالهدر" dataDxfId="1676" totalsRowDxfId="1627" dataCellStyle="Normal 2">
      <calculatedColumnFormula>CEILING(L52,0.25)</calculatedColumnFormula>
    </tableColumn>
    <tableColumn id="10" xr3:uid="{967AAB2A-3CBC-489F-8789-9F5C00F5D83C}" name="Column1" dataDxfId="1676" totalsRowDxfId="1627" dataCellStyle="Normal 2"/>
    <tableColumn id="11" xr3:uid="{76CE1684-442E-40CE-9E88-94D80CB7830B}" name="وزن المتر" dataDxfId="1672"/>
    <tableColumn id="12" xr3:uid="{35C4C533-AA04-467F-936F-7558F5DB8E15}" name="السعر" totalsRowFunction="sum" dataDxfId="128" totalsRowDxfId="127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119" dataDxfId="124" totalsRowDxfId="122" headerRowCellStyle="Normal 2">
  <autoFilter ref="B64:E95" xr:uid="{E5E8C9DF-A434-4B1E-9F2A-956212BAAA2E}"/>
  <tableColumns count="4">
    <tableColumn id="1" xr3:uid="{14D6CE5D-1213-43A1-BF29-FDC7124F2A0F}" name="الاكسسوار" totalsRowLabel="Total" dataDxfId="1678" totalsRowDxfId="120" dataCellStyle="Normal 2"/>
    <tableColumn id="2" xr3:uid="{BA98A798-2CCA-4B7A-8B05-63B06D09333A}" name="عدد" dataDxfId="1678" dataCellStyle="Normal 2"/>
    <tableColumn id="3" xr3:uid="{874A13E8-F264-4E16-B5DC-F94B11DF3BA1}" name="سعر" dataDxfId="1676" totalsRowDxfId="1627" dataCellStyle="Normal 2"/>
    <tableColumn id="4" xr3:uid="{DA8B93C8-59AD-4087-99B5-E52B920DEA79}" name="قيمة" totalsRowFunction="sum" dataDxfId="1676" totalsRowDxfId="1627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671" dataDxfId="1669" totalsRowDxfId="1672">
  <autoFilter ref="L12:Q23" xr:uid="{A630A4D1-964B-4D9C-80E9-DA639A17F16D}"/>
  <tableColumns count="6">
    <tableColumn id="1" xr3:uid="{D6CA05FE-79A8-47D8-8096-DAD04C28DE48}" name="Column1" totalsRowLabel="Total" dataDxfId="1669" totalsRowDxfId="1673"/>
    <tableColumn id="2" xr3:uid="{DF451939-4251-43AE-B6F6-9E343597384A}" name="عدد" totalsRowFunction="custom" dataDxfId="1669" totalsRowDxfId="1674">
      <totalsRowFormula>(Table80102113140[[#Totals],[price]]*1.1)/(O11*M11/10000)</totalsRowFormula>
    </tableColumn>
    <tableColumn id="3" xr3:uid="{C25478EA-3E99-4126-8989-54E48D1715D2}" name="طول" dataDxfId="1669" totalsRowDxfId="1670"/>
    <tableColumn id="4" xr3:uid="{9822A093-08F1-4B4D-9AFC-90D5A4131131}" name="Column2" dataDxfId="1669" totalsRowDxfId="1670"/>
    <tableColumn id="5" xr3:uid="{2E48C218-473A-4C6D-8C09-4D5CDD33479B}" name="wt/m" dataDxfId="1669" totalsRowDxfId="1670"/>
    <tableColumn id="6" xr3:uid="{36249871-283B-48D1-B606-C1BA8D8BCF2C}" name="price" totalsRowFunction="sum" dataDxfId="1669" totalsRowDxfId="1670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679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679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679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679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679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20" totalsRowDxfId="1622"/>
    <tableColumn id="2" xr3:uid="{00000000-0010-0000-0700-000002000000}" name="عدد" dataDxfId="1623" totalsRowDxfId="1622"/>
    <tableColumn id="3" xr3:uid="{00000000-0010-0000-0700-000003000000}" name="بيان" totalsRowLabel="Total" dataDxfId="1620" totalsRowDxfId="1622"/>
    <tableColumn id="11" xr3:uid="{00000000-0010-0000-0700-00000B000000}" name="Column2" dataDxfId="1620" totalsRowDxfId="1622"/>
    <tableColumn id="10" xr3:uid="{00000000-0010-0000-0700-00000A000000}" name="Column1" dataDxfId="1620" totalsRowDxfId="1622"/>
    <tableColumn id="12" xr3:uid="{00000000-0010-0000-0700-00000C000000}" name="Column12" dataDxfId="1626" totalsRowDxfId="1627"/>
    <tableColumn id="4" xr3:uid="{00000000-0010-0000-0700-000004000000}" name="الوحده" dataDxfId="1620" totalsRowDxfId="1622"/>
    <tableColumn id="5" xr3:uid="{00000000-0010-0000-0700-000005000000}" name="الوزن" dataDxfId="1620" totalsRowDxfId="1622"/>
    <tableColumn id="6" xr3:uid="{00000000-0010-0000-0700-000006000000}" name="سعر الكيلو" dataDxfId="1620" totalsRowDxfId="1622"/>
    <tableColumn id="7" xr3:uid="{00000000-0010-0000-0700-000007000000}" name="سعر الشبك " dataDxfId="1624" totalsRowDxfId="1628">
      <calculatedColumnFormula>Sheet2!B22</calculatedColumnFormula>
    </tableColumn>
    <tableColumn id="8" xr3:uid="{00000000-0010-0000-0700-000008000000}" name="اجمالي" totalsRowFunction="sum" dataDxfId="1625" totalsRowDxfId="1629">
      <calculatedColumnFormula>B17*J17</calculatedColumnFormula>
    </tableColumn>
    <tableColumn id="9" xr3:uid="{00000000-0010-0000-0700-000009000000}" name="%" totalsRowFunction="custom" totalsRowDxfId="163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679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20" totalsRowDxfId="1621"/>
    <tableColumn id="2" xr3:uid="{00000000-0010-0000-0800-000002000000}" name="عدد" totalsRowFunction="count" dataDxfId="1620" totalsRowDxfId="1621">
      <calculatedColumnFormula>B29*4</calculatedColumnFormula>
    </tableColumn>
    <tableColumn id="3" xr3:uid="{00000000-0010-0000-0800-000003000000}" name="بيان" totalsRowLabel="Total" dataDxfId="1620" totalsRowDxfId="1621"/>
    <tableColumn id="11" xr3:uid="{00000000-0010-0000-0800-00000B000000}" name="Column2" dataDxfId="1620" totalsRowDxfId="1621"/>
    <tableColumn id="10" xr3:uid="{00000000-0010-0000-0800-00000A000000}" name="Column1" dataDxfId="1620" totalsRowDxfId="1621"/>
    <tableColumn id="12" xr3:uid="{00000000-0010-0000-0800-00000C000000}" name="Column12" totalsRowFunction="sum" dataDxfId="1626" totalsRowDxfId="16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20" totalsRowDxfId="1621"/>
    <tableColumn id="5" xr3:uid="{00000000-0010-0000-0800-000005000000}" name="الوزن" totalsRowFunction="custom" totalsRowDxfId="1621">
      <totalsRowFormula>H30*B30+H31*B31</totalsRowFormula>
    </tableColumn>
    <tableColumn id="6" xr3:uid="{00000000-0010-0000-0800-000006000000}" name="Column3" dataDxfId="1623" totalsRowDxfId="1621"/>
    <tableColumn id="7" xr3:uid="{00000000-0010-0000-0800-000007000000}" name="سعر الشبك " dataDxfId="1624" totalsRowDxfId="1632">
      <calculatedColumnFormula>H30*$H$2/1000</calculatedColumnFormula>
    </tableColumn>
    <tableColumn id="8" xr3:uid="{00000000-0010-0000-0800-000008000000}" name="اجمالي" totalsRowFunction="sum" dataDxfId="1625" totalsRowDxfId="1633">
      <calculatedColumnFormula>B30*J30</calculatedColumnFormula>
    </tableColumn>
    <tableColumn id="9" xr3:uid="{00000000-0010-0000-0800-000009000000}" name="%" totalsRowFunction="custom" totalsRowDxfId="163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76"/>
    <tableColumn id="2" xr3:uid="{00000000-0010-0000-0900-000002000000}" name="المعدل" dataDxfId="1635"/>
    <tableColumn id="3" xr3:uid="{00000000-0010-0000-0900-000003000000}" name="الوحدة" dataDxfId="1635"/>
    <tableColumn id="4" xr3:uid="{00000000-0010-0000-0900-000004000000}" name="Column4" dataDxfId="320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20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2"/>
    <tableColumn id="11" xr3:uid="{00000000-0010-0000-0A00-00000B000000}" name="Column2" dataDxfId="1636"/>
    <tableColumn id="10" xr3:uid="{00000000-0010-0000-0A00-00000A000000}" name="Column1" dataDxfId="287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1637"/>
    <tableColumn id="7" xr3:uid="{00000000-0010-0000-0A00-000007000000}" name="سعر الشبك " dataDxfId="284">
      <calculatedColumnFormula>Sheet2!B31</calculatedColumnFormula>
    </tableColumn>
    <tableColumn id="8" xr3:uid="{00000000-0010-0000-0A00-000008000000}" name="اجمالي" totalsRowFunction="sum" dataDxfId="16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20" totalsRowDxfId="1622"/>
    <tableColumn id="2" xr3:uid="{00000000-0010-0000-0B00-000002000000}" name="عدد" dataDxfId="1620" totalsRowDxfId="1622">
      <calculatedColumnFormula>IF((F78="الاسكندرية"),0.25,0.1)</calculatedColumnFormula>
    </tableColumn>
    <tableColumn id="3" xr3:uid="{00000000-0010-0000-0B00-000003000000}" name="بيان برجولا رويال" totalsRowLabel="Total" dataDxfId="1620" totalsRowDxfId="1622"/>
    <tableColumn id="12" xr3:uid="{00000000-0010-0000-0B00-00000C000000}" name="Column12" totalsRowFunction="sum" dataDxfId="1626" totalsRowDxfId="1627"/>
    <tableColumn id="5" xr3:uid="{00000000-0010-0000-0B00-000005000000}" name="Column1" dataDxfId="1620" totalsRowDxfId="1622"/>
    <tableColumn id="11" xr3:uid="{00000000-0010-0000-0B00-00000B000000}" name="العرض" dataDxfId="1636" totalsRowDxfId="1622"/>
    <tableColumn id="10" xr3:uid="{00000000-0010-0000-0B00-00000A000000}" name="الامتداد" dataDxfId="1623" totalsRowDxfId="1622"/>
    <tableColumn id="4" xr3:uid="{00000000-0010-0000-0B00-000004000000}" name="سعر المتر" dataDxfId="1637" totalsRowDxfId="1622"/>
    <tableColumn id="6" xr3:uid="{00000000-0010-0000-0B00-000006000000}" name="Column2" dataDxfId="14" totalsRowDxfId="1622"/>
    <tableColumn id="7" xr3:uid="{00000000-0010-0000-0B00-000007000000}" name="سعر البرجولا كاملة" dataDxfId="1624" totalsRowDxfId="1628">
      <calculatedColumnFormula>(K57)</calculatedColumnFormula>
    </tableColumn>
    <tableColumn id="8" xr3:uid="{00000000-0010-0000-0B00-000008000000}" name="اجمالي" totalsRowFunction="sum" dataDxfId="1625" totalsRowDxfId="1629">
      <calculatedColumnFormula>B58*Table1611[[#This Row],[سعر البرجولا كاملة]]</calculatedColumnFormula>
    </tableColumn>
    <tableColumn id="9" xr3:uid="{00000000-0010-0000-0B00-000009000000}" name="%" totalsRowFunction="custom" totalsRowDxfId="163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20" totalsRowDxfId="1622"/>
    <tableColumn id="2" xr3:uid="{00000000-0010-0000-0C00-000002000000}" name="عدد" dataDxfId="20" totalsRowDxfId="1622">
      <calculatedColumnFormula>B61</calculatedColumnFormula>
    </tableColumn>
    <tableColumn id="3" xr3:uid="{00000000-0010-0000-0C00-000003000000}" name="بيان" totalsRowLabel="Total" dataDxfId="16" totalsRowDxfId="1622"/>
    <tableColumn id="5" xr3:uid="{00000000-0010-0000-0C00-000005000000}" name="اليومية / الاجرة" dataDxfId="1638" totalsRowDxfId="1622"/>
    <tableColumn id="6" xr3:uid="{00000000-0010-0000-0C00-000006000000}" name="بدل الوجبة" dataDxfId="1639" totalsRowDxfId="1622"/>
    <tableColumn id="11" xr3:uid="{00000000-0010-0000-0C00-00000B000000}" name="موقع العمل" dataDxfId="1636" totalsRowDxfId="1622">
      <calculatedColumnFormula>تسعير!$T$4</calculatedColumnFormula>
    </tableColumn>
    <tableColumn id="10" xr3:uid="{00000000-0010-0000-0C00-00000A000000}" name="شيفت العمل" dataDxfId="1620" totalsRowDxfId="1622"/>
    <tableColumn id="12" xr3:uid="{00000000-0010-0000-0C00-00000C000000}" name="Column12" totalsRowFunction="sum" dataDxfId="1626" totalsRowDxfId="1627">
      <calculatedColumnFormula>SUMIF(Table17[Column1],Table1612[[#This Row],[موقع العمل]],$T$2:$T$20)</calculatedColumnFormula>
    </tableColumn>
    <tableColumn id="4" xr3:uid="{00000000-0010-0000-0C00-000004000000}" name="عدد الايام" dataDxfId="6" totalsRowDxfId="1622"/>
    <tableColumn id="7" xr3:uid="{00000000-0010-0000-0C00-000007000000}" name="اجمالي التكلفة للعامل" dataDxfId="4" totalsRowDxfId="1628">
      <calculatedColumnFormula>Table1612[[#This Row],[Column12]]</calculatedColumnFormula>
    </tableColumn>
    <tableColumn id="8" xr3:uid="{00000000-0010-0000-0C00-000008000000}" name="اجمالي" totalsRowFunction="sum" dataDxfId="1625" totalsRowDxfId="1629">
      <calculatedColumnFormula>B67*J67</calculatedColumnFormula>
    </tableColumn>
    <tableColumn id="9" xr3:uid="{00000000-0010-0000-0C00-000009000000}" name="%" totalsRowFunction="custom" totalsRowDxfId="163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1640"/>
    <tableColumn id="4" xr3:uid="{00000000-0010-0000-0D00-000004000000}" name="بدل الوجبة" dataDxfId="1640"/>
    <tableColumn id="5" xr3:uid="{00000000-0010-0000-0D00-000005000000}" name="دبابة" dataDxfId="1640"/>
    <tableColumn id="6" xr3:uid="{00000000-0010-0000-0D00-000006000000}" name="جامبو" dataDxfId="1640"/>
    <tableColumn id="7" xr3:uid="{00000000-0010-0000-0D00-000007000000}" name="الاقامة" dataDxfId="164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636"/>
    <tableColumn id="4" xr3:uid="{00000000-0010-0000-0E00-000004000000}" name="Column22" dataDxfId="1636"/>
    <tableColumn id="5" xr3:uid="{00000000-0010-0000-0E00-000005000000}" name="Column23" dataDxfId="1636"/>
    <tableColumn id="3" xr3:uid="{00000000-0010-0000-0E00-000003000000}" name="Column3" dataDxfId="272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20" totalsRowDxfId="1621"/>
    <tableColumn id="2" xr3:uid="{00000000-0010-0000-0F00-000002000000}" name="عدد" dataDxfId="1620" totalsRowDxfId="16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20" totalsRowDxfId="1621"/>
    <tableColumn id="11" xr3:uid="{00000000-0010-0000-0F00-00000B000000}" name="Column2" dataDxfId="1620" totalsRowDxfId="1621"/>
    <tableColumn id="10" xr3:uid="{00000000-0010-0000-0F00-00000A000000}" name="Column1" dataDxfId="1620" totalsRowDxfId="1621"/>
    <tableColumn id="12" xr3:uid="{00000000-0010-0000-0F00-00000C000000}" name="المسطح" totalsRowFunction="sum" dataDxfId="1626" totalsRowDxfId="16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20" totalsRowDxfId="1621"/>
    <tableColumn id="5" xr3:uid="{00000000-0010-0000-0F00-000005000000}" name="الوزن" totalsRowFunction="custom" dataDxfId="1620" totalsRowDxfId="1621">
      <totalsRowFormula>H9*B9+H8*B8+H7*B7</totalsRowFormula>
    </tableColumn>
    <tableColumn id="6" xr3:uid="{00000000-0010-0000-0F00-000006000000}" name="اجمالي الميزان" totalsRowFunction="sum" dataDxfId="1623" totalsRowDxfId="1621">
      <calculatedColumnFormula>Table118[[#This Row],[الوزن]]*Table118[[#This Row],[عدد]]</calculatedColumnFormula>
    </tableColumn>
    <tableColumn id="7" xr3:uid="{00000000-0010-0000-0F00-000007000000}" name="سعر الشبك " dataDxfId="1624" totalsRowDxfId="1632">
      <calculatedColumnFormula>H6*$H$2/1000</calculatedColumnFormula>
    </tableColumn>
    <tableColumn id="8" xr3:uid="{00000000-0010-0000-0F00-000008000000}" name="اجمالي" totalsRowFunction="sum" dataDxfId="1625" totalsRowDxfId="1633">
      <calculatedColumnFormula>B6*J6</calculatedColumnFormula>
    </tableColumn>
    <tableColumn id="9" xr3:uid="{00000000-0010-0000-0F00-000009000000}" name="%" totalsRowFunction="custom" totalsRowDxfId="163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20" totalsRowDxfId="1621"/>
    <tableColumn id="2" xr3:uid="{00000000-0010-0000-1000-000002000000}" name="عدد" dataDxfId="1623" totalsRowDxfId="16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20" totalsRowDxfId="1621"/>
    <tableColumn id="11" xr3:uid="{00000000-0010-0000-1000-00000B000000}" name="Column2" dataDxfId="1620" totalsRowDxfId="1621"/>
    <tableColumn id="10" xr3:uid="{00000000-0010-0000-1000-00000A000000}" name="Column1" dataDxfId="1620" totalsRowDxfId="1621"/>
    <tableColumn id="12" xr3:uid="{00000000-0010-0000-1000-00000C000000}" name="Column12" dataDxfId="1620" totalsRowDxfId="1621"/>
    <tableColumn id="4" xr3:uid="{00000000-0010-0000-1000-000004000000}" name="الوحده" totalsRowLabel="total" dataDxfId="1620" totalsRowDxfId="1621"/>
    <tableColumn id="5" xr3:uid="{00000000-0010-0000-1000-000005000000}" name="الوزن" dataDxfId="1623" totalsRowDxfId="16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20" totalsRowDxfId="1621">
      <calculatedColumnFormula>Sheet2!B7</calculatedColumnFormula>
    </tableColumn>
    <tableColumn id="7" xr3:uid="{00000000-0010-0000-1000-000007000000}" name="سعر الشبك " dataDxfId="1624" totalsRowDxfId="1632"/>
    <tableColumn id="8" xr3:uid="{00000000-0010-0000-1000-000008000000}" name="اجمالي" totalsRowFunction="sum" dataDxfId="1625" totalsRowDxfId="1633">
      <calculatedColumnFormula>B36*Table1319[[#This Row],[سعر الكيلو]]</calculatedColumnFormula>
    </tableColumn>
    <tableColumn id="9" xr3:uid="{00000000-0010-0000-1000-000009000000}" name="%" totalsRowFunction="custom" totalsRowDxfId="163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20" totalsRowDxfId="1621"/>
    <tableColumn id="2" xr3:uid="{00000000-0010-0000-1100-000002000000}" name="عدد" dataDxfId="1620" totalsRowDxfId="16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20" totalsRowDxfId="1621"/>
    <tableColumn id="11" xr3:uid="{00000000-0010-0000-1100-00000B000000}" name="Column2" dataDxfId="1620" totalsRowDxfId="1621"/>
    <tableColumn id="10" xr3:uid="{00000000-0010-0000-1100-00000A000000}" name="Column1" dataDxfId="1620" totalsRowDxfId="1621"/>
    <tableColumn id="12" xr3:uid="{00000000-0010-0000-1100-00000C000000}" name="Column12" totalsRowFunction="sum" dataDxfId="1623" totalsRowDxfId="16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20" totalsRowDxfId="1621"/>
    <tableColumn id="5" xr3:uid="{00000000-0010-0000-1100-000005000000}" name="الوزن" totalsRowFunction="custom" dataDxfId="1620" totalsRowDxfId="1621">
      <totalsRowFormula>H13*B13+H14*B14</totalsRowFormula>
    </tableColumn>
    <tableColumn id="6" xr3:uid="{00000000-0010-0000-1100-000006000000}" name="سعر الكيلو" totalsRowFunction="sum" dataDxfId="1623" totalsRowDxfId="1621">
      <calculatedColumnFormula>Table1421[[#This Row],[الوزن]]*Table1421[[#This Row],[عدد]]</calculatedColumnFormula>
    </tableColumn>
    <tableColumn id="7" xr3:uid="{00000000-0010-0000-1100-000007000000}" name="سعر الشبك " dataDxfId="1624" totalsRowDxfId="1328">
      <calculatedColumnFormula>H13*$I$2/1000</calculatedColumnFormula>
    </tableColumn>
    <tableColumn id="8" xr3:uid="{00000000-0010-0000-1100-000008000000}" name="اجمالي" totalsRowFunction="sum" dataDxfId="1625" totalsRowDxfId="1633">
      <calculatedColumnFormula>B13*J13</calculatedColumnFormula>
    </tableColumn>
    <tableColumn id="9" xr3:uid="{00000000-0010-0000-1100-000009000000}" name="%" totalsRowFunction="custom" totalsRowDxfId="163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20" totalsRowDxfId="1622"/>
    <tableColumn id="2" xr3:uid="{00000000-0010-0000-1200-000002000000}" name="عدد" dataDxfId="1623" totalsRowDxfId="162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20" totalsRowDxfId="1622"/>
    <tableColumn id="11" xr3:uid="{00000000-0010-0000-1200-00000B000000}" name="Column2" dataDxfId="1620" totalsRowDxfId="1622"/>
    <tableColumn id="10" xr3:uid="{00000000-0010-0000-1200-00000A000000}" name="Column1" dataDxfId="1620" totalsRowDxfId="1622"/>
    <tableColumn id="12" xr3:uid="{00000000-0010-0000-1200-00000C000000}" name="Column12" dataDxfId="1626" totalsRowDxfId="1627"/>
    <tableColumn id="4" xr3:uid="{00000000-0010-0000-1200-000004000000}" name="الوحده" dataDxfId="1620" totalsRowDxfId="1622"/>
    <tableColumn id="5" xr3:uid="{00000000-0010-0000-1200-000005000000}" name="الوزن" dataDxfId="1620" totalsRowDxfId="1622"/>
    <tableColumn id="6" xr3:uid="{00000000-0010-0000-1200-000006000000}" name="سعر الكيلو" dataDxfId="1620" totalsRowDxfId="1622"/>
    <tableColumn id="7" xr3:uid="{00000000-0010-0000-1200-000007000000}" name="سعر الشبك " dataDxfId="1624" totalsRowDxfId="1628">
      <calculatedColumnFormula>Sheet2!B22</calculatedColumnFormula>
    </tableColumn>
    <tableColumn id="8" xr3:uid="{00000000-0010-0000-1200-000008000000}" name="اجمالي" totalsRowFunction="sum" dataDxfId="1625" totalsRowDxfId="1629">
      <calculatedColumnFormula>B18*J18</calculatedColumnFormula>
    </tableColumn>
    <tableColumn id="9" xr3:uid="{00000000-0010-0000-1200-000009000000}" name="%" totalsRowFunction="custom" totalsRowDxfId="163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20"/>
    <tableColumn id="2" xr3:uid="{00000000-0010-0000-1300-000002000000}" name="عدد" totalsRowFunction="count" dataDxfId="1623">
      <calculatedColumnFormula>B30*4</calculatedColumnFormula>
    </tableColumn>
    <tableColumn id="3" xr3:uid="{00000000-0010-0000-1300-000003000000}" name="بيان" totalsRowLabel="Total" dataDxfId="1620"/>
    <tableColumn id="11" xr3:uid="{00000000-0010-0000-1300-00000B000000}" name="Column2" dataDxfId="1620"/>
    <tableColumn id="10" xr3:uid="{00000000-0010-0000-1300-00000A000000}" name="Column1" dataDxfId="1620"/>
    <tableColumn id="12" xr3:uid="{00000000-0010-0000-1300-00000C000000}" name="Column12" totalsRowFunction="sum" dataDxfId="1626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23">
      <calculatedColumnFormula>$H$2/1000</calculatedColumnFormula>
    </tableColumn>
    <tableColumn id="7" xr3:uid="{00000000-0010-0000-1300-000007000000}" name="سعر الشبك " dataDxfId="1624">
      <calculatedColumnFormula>H31*$H$2/1000</calculatedColumnFormula>
    </tableColumn>
    <tableColumn id="8" xr3:uid="{00000000-0010-0000-1300-000008000000}" name="اجمالي" totalsRowFunction="sum" dataDxfId="16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35"/>
    <tableColumn id="2" xr3:uid="{00000000-0010-0000-1400-000002000000}" name="المعدل" dataDxfId="1635"/>
    <tableColumn id="3" xr3:uid="{00000000-0010-0000-1400-000003000000}" name="الوحدة" dataDxfId="1635"/>
    <tableColumn id="4" xr3:uid="{00000000-0010-0000-1400-000004000000}" name="Column4" dataDxfId="164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20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36"/>
    <tableColumn id="11" xr3:uid="{00000000-0010-0000-1500-00000B000000}" name="Column2" dataDxfId="1636"/>
    <tableColumn id="10" xr3:uid="{00000000-0010-0000-1500-00000A000000}" name="Column1" dataDxfId="1637"/>
    <tableColumn id="12" xr3:uid="{00000000-0010-0000-1500-00000C000000}" name="Column12" totalsRowFunction="sum" dataDxfId="1643"/>
    <tableColumn id="4" xr3:uid="{00000000-0010-0000-1500-000004000000}" name="الوحده" dataDxfId="1644"/>
    <tableColumn id="5" xr3:uid="{00000000-0010-0000-1500-000005000000}" name="الوزن" dataDxfId="1645"/>
    <tableColumn id="6" xr3:uid="{00000000-0010-0000-1500-000006000000}" name="سعر الكيلو" dataDxfId="1637"/>
    <tableColumn id="7" xr3:uid="{00000000-0010-0000-1500-000007000000}" name="سعر الشبك " dataDxfId="1646">
      <calculatedColumnFormula>Sheet2!B31</calculatedColumnFormula>
    </tableColumn>
    <tableColumn id="8" xr3:uid="{00000000-0010-0000-1500-000008000000}" name="اجمالي" totalsRowFunction="sum" dataDxfId="16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20" totalsRowDxfId="1622"/>
    <tableColumn id="2" xr3:uid="{00000000-0010-0000-1600-000002000000}" name="عدد" dataDxfId="1620" totalsRowDxfId="1622">
      <calculatedColumnFormula>IF((F80="الاسكندرية"),0.25,0.1)</calculatedColumnFormula>
    </tableColumn>
    <tableColumn id="3" xr3:uid="{00000000-0010-0000-1600-000003000000}" name="بيان برجولا رويال" totalsRowLabel="Total" dataDxfId="1620" totalsRowDxfId="1622"/>
    <tableColumn id="12" xr3:uid="{00000000-0010-0000-1600-00000C000000}" name="Column12" totalsRowFunction="sum" dataDxfId="1626" totalsRowDxfId="1627"/>
    <tableColumn id="5" xr3:uid="{00000000-0010-0000-1600-000005000000}" name="Column1" dataDxfId="1620" totalsRowDxfId="1622"/>
    <tableColumn id="11" xr3:uid="{00000000-0010-0000-1600-00000B000000}" name="العرض" dataDxfId="1636" totalsRowDxfId="1622"/>
    <tableColumn id="10" xr3:uid="{00000000-0010-0000-1600-00000A000000}" name="الامتداد" dataDxfId="1623" totalsRowDxfId="1622"/>
    <tableColumn id="4" xr3:uid="{00000000-0010-0000-1600-000004000000}" name="سعر المتر" dataDxfId="1637" totalsRowDxfId="1622"/>
    <tableColumn id="6" xr3:uid="{00000000-0010-0000-1600-000006000000}" name="Column2" dataDxfId="1639" totalsRowDxfId="1622"/>
    <tableColumn id="7" xr3:uid="{00000000-0010-0000-1600-000007000000}" name="سعر البرجولا كاملة" dataDxfId="1624" totalsRowDxfId="1628">
      <calculatedColumnFormula>K58</calculatedColumnFormula>
    </tableColumn>
    <tableColumn id="8" xr3:uid="{00000000-0010-0000-1600-000008000000}" name="اجمالي" totalsRowFunction="sum" dataDxfId="1625" totalsRowDxfId="1629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63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20" totalsRowDxfId="1622"/>
    <tableColumn id="2" xr3:uid="{00000000-0010-0000-1700-000002000000}" name="عدد" dataDxfId="1641" totalsRowDxfId="1622">
      <calculatedColumnFormula>B66</calculatedColumnFormula>
    </tableColumn>
    <tableColumn id="3" xr3:uid="{00000000-0010-0000-1700-000003000000}" name="بيان" totalsRowLabel="Total" dataDxfId="1638" totalsRowDxfId="1622"/>
    <tableColumn id="5" xr3:uid="{00000000-0010-0000-1700-000005000000}" name="اليومية / الاجرة" dataDxfId="1638" totalsRowDxfId="1622"/>
    <tableColumn id="6" xr3:uid="{00000000-0010-0000-1700-000006000000}" name="بدل الوجبة" dataDxfId="1639" totalsRowDxfId="1622"/>
    <tableColumn id="11" xr3:uid="{00000000-0010-0000-1700-00000B000000}" name="موقع العمل" dataDxfId="1636" totalsRowDxfId="1622">
      <calculatedColumnFormula>تسعير!$T$24</calculatedColumnFormula>
    </tableColumn>
    <tableColumn id="10" xr3:uid="{00000000-0010-0000-1700-00000A000000}" name="شيفت العمل" dataDxfId="1620" totalsRowDxfId="1622"/>
    <tableColumn id="12" xr3:uid="{00000000-0010-0000-1700-00000C000000}" name="Column12" totalsRowFunction="sum" dataDxfId="1626" totalsRowDxfId="1627">
      <calculatedColumnFormula>SUMIF(Table1731[Column1],Table161229[[#This Row],[موقع العمل]],$T$2:$T$26)</calculatedColumnFormula>
    </tableColumn>
    <tableColumn id="4" xr3:uid="{00000000-0010-0000-1700-000004000000}" name="عدد الايام" dataDxfId="1647" totalsRowDxfId="1622"/>
    <tableColumn id="7" xr3:uid="{00000000-0010-0000-1700-000007000000}" name="اجمالي التكلفة للعامل" dataDxfId="1648" totalsRowDxfId="1628">
      <calculatedColumnFormula>Table161229[[#This Row],[Column12]]</calculatedColumnFormula>
    </tableColumn>
    <tableColumn id="8" xr3:uid="{00000000-0010-0000-1700-000008000000}" name="اجمالي" totalsRowFunction="sum" dataDxfId="1625" totalsRowDxfId="1629">
      <calculatedColumnFormula>B69*J69</calculatedColumnFormula>
    </tableColumn>
    <tableColumn id="9" xr3:uid="{00000000-0010-0000-1700-000009000000}" name="%" totalsRowFunction="custom" totalsRowDxfId="163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36" totalsRowDxfId="1622"/>
    <tableColumn id="2" xr3:uid="{00000000-0010-0000-1800-000002000000}" name="عدد" dataDxfId="1641" totalsRowDxfId="1622"/>
    <tableColumn id="3" xr3:uid="{00000000-0010-0000-1800-000003000000}" name="بيان" totalsRowLabel="Total" dataDxfId="1636" totalsRowDxfId="1622"/>
    <tableColumn id="11" xr3:uid="{00000000-0010-0000-1800-00000B000000}" name="Column2" dataDxfId="1636" totalsRowDxfId="1622"/>
    <tableColumn id="10" xr3:uid="{00000000-0010-0000-1800-00000A000000}" name="Column1" dataDxfId="1636" totalsRowDxfId="1622"/>
    <tableColumn id="12" xr3:uid="{00000000-0010-0000-1800-00000C000000}" name="Column12" totalsRowFunction="sum" dataDxfId="288" totalsRowDxfId="1627"/>
    <tableColumn id="4" xr3:uid="{00000000-0010-0000-1800-000004000000}" name="الوحده" dataDxfId="1637" totalsRowDxfId="1622"/>
    <tableColumn id="5" xr3:uid="{00000000-0010-0000-1800-000005000000}" name="الوزن" dataDxfId="1636" totalsRowDxfId="1622"/>
    <tableColumn id="6" xr3:uid="{00000000-0010-0000-1800-000006000000}" name="سعر الكيلو" dataDxfId="1636" totalsRowDxfId="1622"/>
    <tableColumn id="7" xr3:uid="{00000000-0010-0000-1800-000007000000}" name="سعر الشبك " dataDxfId="1646" totalsRowDxfId="1628"/>
    <tableColumn id="8" xr3:uid="{00000000-0010-0000-1800-000008000000}" name="اجمالي" totalsRowFunction="sum" dataDxfId="1625" totalsRowDxfId="1629">
      <calculatedColumnFormula>B65*Table161330[[#This Row],[سعر الشبك ]]</calculatedColumnFormula>
    </tableColumn>
    <tableColumn id="9" xr3:uid="{00000000-0010-0000-1800-000009000000}" name="%" totalsRowFunction="custom" totalsRowDxfId="1208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35"/>
    <tableColumn id="2" xr3:uid="{00000000-0010-0000-1900-000002000000}" name="خارجي" dataDxfId="1640"/>
    <tableColumn id="3" xr3:uid="{00000000-0010-0000-1900-000003000000}" name="داخلي" dataDxfId="1640"/>
    <tableColumn id="4" xr3:uid="{00000000-0010-0000-1900-000004000000}" name="بدل الوجبة" dataDxfId="1640"/>
    <tableColumn id="5" xr3:uid="{00000000-0010-0000-1900-000005000000}" name="دبابة" dataDxfId="1640"/>
    <tableColumn id="6" xr3:uid="{00000000-0010-0000-1900-000006000000}" name="جامبو" dataDxfId="1640"/>
    <tableColumn id="7" xr3:uid="{00000000-0010-0000-1900-000007000000}" name="الاقامة" dataDxfId="1640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36"/>
    <tableColumn id="4" xr3:uid="{00000000-0010-0000-1A00-000004000000}" name="Column22" dataDxfId="1636"/>
    <tableColumn id="5" xr3:uid="{00000000-0010-0000-1A00-000005000000}" name="Column23" dataDxfId="1636"/>
    <tableColumn id="3" xr3:uid="{00000000-0010-0000-1A00-000003000000}" name="Column3" dataDxfId="16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650" totalsRowDxfId="1037"/>
    <tableColumn id="6" xr3:uid="{00000000-0010-0000-1B00-000006000000}" name="الطول بالمتر" dataDxfId="1650" totalsRowDxfId="1651"/>
    <tableColumn id="5" xr3:uid="{00000000-0010-0000-1B00-000005000000}" name="وزن المتر " dataDxfId="1650" totalsRowDxfId="1651"/>
    <tableColumn id="4" xr3:uid="{00000000-0010-0000-1B00-000004000000}" name="سعر الكيلو" dataDxfId="1650" totalsRowDxfId="1651"/>
    <tableColumn id="3" xr3:uid="{00000000-0010-0000-1B00-000003000000}" name="اجمالي عدد " totalsRowFunction="custom" totalsRowDxfId="1651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1650" totalsRowDxfId="1651"/>
    <tableColumn id="10" xr3:uid="{00000000-0010-0000-1B00-00000A000000}" name="Column2" dataDxfId="1650" totalsRowDxfId="1651"/>
    <tableColumn id="11" xr3:uid="{00000000-0010-0000-1B00-00000B000000}" name="Column3" dataDxfId="1650" totalsRowDxfId="1651"/>
    <tableColumn id="12" xr3:uid="{00000000-0010-0000-1B00-00000C000000}" name="Column4" dataDxfId="1650" totalsRowDxfId="165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20" totalsRowDxfId="1622"/>
    <tableColumn id="2" xr3:uid="{00000000-0010-0000-1C00-000002000000}" name="عدد" dataDxfId="1623" totalsRowDxfId="1622"/>
    <tableColumn id="3" xr3:uid="{00000000-0010-0000-1C00-000003000000}" name="بيان" totalsRowLabel="Total" dataDxfId="1620" totalsRowDxfId="1622"/>
    <tableColumn id="11" xr3:uid="{00000000-0010-0000-1C00-00000B000000}" name="Column2" dataDxfId="1620" totalsRowDxfId="1622"/>
    <tableColumn id="10" xr3:uid="{00000000-0010-0000-1C00-00000A000000}" name="Column1" dataDxfId="1620" totalsRowDxfId="1622"/>
    <tableColumn id="12" xr3:uid="{00000000-0010-0000-1C00-00000C000000}" name="Column12" dataDxfId="1620" totalsRowDxfId="1622"/>
    <tableColumn id="4" xr3:uid="{00000000-0010-0000-1C00-000004000000}" name="الوحده" totalsRowLabel="total" dataDxfId="1620" totalsRowDxfId="1622"/>
    <tableColumn id="5" xr3:uid="{00000000-0010-0000-1C00-000005000000}" name="الوزن" dataDxfId="1620" totalsRowDxfId="1622"/>
    <tableColumn id="6" xr3:uid="{00000000-0010-0000-1C00-000006000000}" name="سعر الكيلو" dataDxfId="1620" totalsRowDxfId="1622"/>
    <tableColumn id="7" xr3:uid="{00000000-0010-0000-1C00-000007000000}" name="سعر الشبك " dataDxfId="1624" totalsRowDxfId="1628">
      <calculatedColumnFormula>Sheet2!B2</calculatedColumnFormula>
    </tableColumn>
    <tableColumn id="8" xr3:uid="{00000000-0010-0000-1C00-000008000000}" name="اجمالي" totalsRowFunction="sum" dataDxfId="1625" totalsRowDxfId="1629">
      <calculatedColumnFormula>M26*U26</calculatedColumnFormula>
    </tableColumn>
    <tableColumn id="9" xr3:uid="{00000000-0010-0000-1C00-000009000000}" name="%" totalsRowFunction="custom" totalsRowDxfId="16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20" totalsRowDxfId="1621"/>
    <tableColumn id="2" xr3:uid="{00000000-0010-0000-1D00-000002000000}" name="عدد" dataDxfId="1623" totalsRowDxfId="1621"/>
    <tableColumn id="3" xr3:uid="{00000000-0010-0000-1D00-000003000000}" name="بيان" totalsRowLabel="Total" dataDxfId="1620" totalsRowDxfId="1621"/>
    <tableColumn id="11" xr3:uid="{00000000-0010-0000-1D00-00000B000000}" name="Column2" dataDxfId="1620" totalsRowDxfId="1621"/>
    <tableColumn id="10" xr3:uid="{00000000-0010-0000-1D00-00000A000000}" name="Column1" dataDxfId="1620" totalsRowDxfId="1621"/>
    <tableColumn id="12" xr3:uid="{00000000-0010-0000-1D00-00000C000000}" name="Column12" dataDxfId="1626" totalsRowDxfId="1631"/>
    <tableColumn id="4" xr3:uid="{00000000-0010-0000-1D00-000004000000}" name="الوحده" dataDxfId="1620" totalsRowDxfId="1621"/>
    <tableColumn id="5" xr3:uid="{00000000-0010-0000-1D00-000005000000}" name="الوزن" dataDxfId="1620" totalsRowDxfId="1621"/>
    <tableColumn id="6" xr3:uid="{00000000-0010-0000-1D00-000006000000}" name="سعر الكيلو" dataDxfId="1620" totalsRowDxfId="1621"/>
    <tableColumn id="7" xr3:uid="{00000000-0010-0000-1D00-000007000000}" name="سعر الشبك " dataDxfId="1624" totalsRowDxfId="1632">
      <calculatedColumnFormula>Sheet2!B24</calculatedColumnFormula>
    </tableColumn>
    <tableColumn id="8" xr3:uid="{00000000-0010-0000-1D00-000008000000}" name="اجمالي" totalsRowFunction="sum" dataDxfId="1625" totalsRowDxfId="1633">
      <calculatedColumnFormula>M11*U11</calculatedColumnFormula>
    </tableColumn>
    <tableColumn id="9" xr3:uid="{00000000-0010-0000-1D00-000009000000}" name="%" totalsRowFunction="custom" totalsRowDxfId="163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20"/>
    <tableColumn id="2" xr3:uid="{00000000-0010-0000-1E00-000002000000}" name="عدد" totalsRowFunction="count" dataDxfId="1620">
      <calculatedColumnFormula>M20*4</calculatedColumnFormula>
    </tableColumn>
    <tableColumn id="3" xr3:uid="{00000000-0010-0000-1E00-000003000000}" name="بيان" totalsRowLabel="Total" dataDxfId="1620"/>
    <tableColumn id="11" xr3:uid="{00000000-0010-0000-1E00-00000B000000}" name="Column2" dataDxfId="1620"/>
    <tableColumn id="10" xr3:uid="{00000000-0010-0000-1E00-00000A000000}" name="Column1" dataDxfId="1620"/>
    <tableColumn id="12" xr3:uid="{00000000-0010-0000-1E00-00000C000000}" name="Column12" totalsRowFunction="sum" dataDxfId="1626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23"/>
    <tableColumn id="7" xr3:uid="{00000000-0010-0000-1E00-000007000000}" name="سعر الشبك " dataDxfId="1624">
      <calculatedColumnFormula>S21*$S$2/1000</calculatedColumnFormula>
    </tableColumn>
    <tableColumn id="8" xr3:uid="{00000000-0010-0000-1E00-000008000000}" name="اجمالي" totalsRowFunction="sum" dataDxfId="16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35"/>
    <tableColumn id="2" xr3:uid="{00000000-0010-0000-1F00-000002000000}" name="المعدل" dataDxfId="1635"/>
    <tableColumn id="3" xr3:uid="{00000000-0010-0000-1F00-000003000000}" name="الوحدة" dataDxfId="1635"/>
    <tableColumn id="4" xr3:uid="{00000000-0010-0000-1F00-000004000000}" name="Column4" dataDxfId="1642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35"/>
    <tableColumn id="2" xr3:uid="{00000000-0010-0000-2000-000002000000}" name="Column2" dataDxfId="1642"/>
    <tableColumn id="3" xr3:uid="{00000000-0010-0000-2000-000003000000}" name="Column3" dataDxfId="1635"/>
    <tableColumn id="4" xr3:uid="{00000000-0010-0000-2000-000004000000}" name="Column4" dataDxfId="1635"/>
    <tableColumn id="5" xr3:uid="{00000000-0010-0000-2000-000005000000}" name="Column5" dataDxfId="163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20" totalsRowDxfId="1622"/>
    <tableColumn id="2" xr3:uid="{00000000-0010-0000-2100-000002000000}" name="عدد" dataDxfId="1641" totalsRowDxfId="1622">
      <calculatedColumnFormula>IF((تسعير!$AU$14="بالتات"),0,M52-2)</calculatedColumnFormula>
    </tableColumn>
    <tableColumn id="3" xr3:uid="{00000000-0010-0000-2100-000003000000}" name="بيان" totalsRowLabel="Total" dataDxfId="1638" totalsRowDxfId="1622"/>
    <tableColumn id="5" xr3:uid="{00000000-0010-0000-2100-000005000000}" name="اليومية / الاجرة" dataDxfId="1638" totalsRowDxfId="1622"/>
    <tableColumn id="6" xr3:uid="{00000000-0010-0000-2100-000006000000}" name="بدل الوجبة" dataDxfId="1639" totalsRowDxfId="1622"/>
    <tableColumn id="11" xr3:uid="{00000000-0010-0000-2100-00000B000000}" name="موقع العمل" dataDxfId="1636" totalsRowDxfId="1622">
      <calculatedColumnFormula>تسعير!$AT$4</calculatedColumnFormula>
    </tableColumn>
    <tableColumn id="10" xr3:uid="{00000000-0010-0000-2100-00000A000000}" name="شيفت العمل" dataDxfId="1620" totalsRowDxfId="1622"/>
    <tableColumn id="12" xr3:uid="{00000000-0010-0000-2100-00000C000000}" name="Column12" totalsRowFunction="sum" dataDxfId="1626" totalsRowDxfId="1627">
      <calculatedColumnFormula>SUMIF(Table1769[Column1],Table161267[[#This Row],[موقع العمل]],$AE$2:$AE$8)</calculatedColumnFormula>
    </tableColumn>
    <tableColumn id="4" xr3:uid="{00000000-0010-0000-2100-000004000000}" name="عدد الايام" dataDxfId="1647" totalsRowDxfId="1622"/>
    <tableColumn id="7" xr3:uid="{00000000-0010-0000-2100-000007000000}" name="اجمالي التكلفة للعامل" dataDxfId="1648" totalsRowDxfId="1628">
      <calculatedColumnFormula>Table161267[[#This Row],[Column12]]</calculatedColumnFormula>
    </tableColumn>
    <tableColumn id="8" xr3:uid="{00000000-0010-0000-2100-000008000000}" name="اجمالي" totalsRowFunction="sum" dataDxfId="1625" totalsRowDxfId="1629">
      <calculatedColumnFormula>M55*U55</calculatedColumnFormula>
    </tableColumn>
    <tableColumn id="9" xr3:uid="{00000000-0010-0000-2100-000009000000}" name="%" totalsRowFunction="custom" totalsRowDxfId="16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36"/>
    <tableColumn id="2" xr3:uid="{00000000-0010-0000-2200-000002000000}" name="عدد" dataDxfId="1641">
      <calculatedColumnFormula>IF((Q65="الاسكندرية"),0.25,0.1)</calculatedColumnFormula>
    </tableColumn>
    <tableColumn id="3" xr3:uid="{00000000-0010-0000-2200-000003000000}" name="بيان" totalsRowLabel="Total" dataDxfId="1636"/>
    <tableColumn id="11" xr3:uid="{00000000-0010-0000-2200-00000B000000}" name="Column2" dataDxfId="1636"/>
    <tableColumn id="10" xr3:uid="{00000000-0010-0000-2200-00000A000000}" name="Column1" dataDxfId="1636"/>
    <tableColumn id="12" xr3:uid="{00000000-0010-0000-2200-00000C000000}" name="Column12" totalsRowFunction="sum" dataDxfId="1652"/>
    <tableColumn id="4" xr3:uid="{00000000-0010-0000-2200-000004000000}" name="الوحده" dataDxfId="1637"/>
    <tableColumn id="5" xr3:uid="{00000000-0010-0000-2200-000005000000}" name="الوزن" dataDxfId="1636"/>
    <tableColumn id="6" xr3:uid="{00000000-0010-0000-2200-000006000000}" name="سعر الكيلو" dataDxfId="1636"/>
    <tableColumn id="7" xr3:uid="{00000000-0010-0000-2200-000007000000}" name="سعر الشبك " dataDxfId="1646">
      <calculatedColumnFormula>V48</calculatedColumnFormula>
    </tableColumn>
    <tableColumn id="8" xr3:uid="{00000000-0010-0000-2200-000008000000}" name="اجمالي" totalsRowFunction="sum" dataDxfId="16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35"/>
    <tableColumn id="2" xr3:uid="{00000000-0010-0000-2300-000002000000}" name="خارجي" dataDxfId="1635"/>
    <tableColumn id="3" xr3:uid="{00000000-0010-0000-2300-000003000000}" name="داخلي" dataDxfId="1635"/>
    <tableColumn id="4" xr3:uid="{00000000-0010-0000-2300-000004000000}" name="بدل الوجبة" dataDxfId="1635"/>
    <tableColumn id="5" xr3:uid="{00000000-0010-0000-2300-000005000000}" name="دبابة" dataDxfId="1635"/>
    <tableColumn id="6" xr3:uid="{00000000-0010-0000-2300-000006000000}" name="جامبو" dataDxfId="1635"/>
    <tableColumn id="7" xr3:uid="{00000000-0010-0000-2300-000007000000}" name="الاقامة" dataDxfId="163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36"/>
    <tableColumn id="4" xr3:uid="{00000000-0010-0000-2400-000004000000}" name="Column22" dataDxfId="1636"/>
    <tableColumn id="5" xr3:uid="{00000000-0010-0000-2400-000005000000}" name="Column23" dataDxfId="1636"/>
    <tableColumn id="3" xr3:uid="{00000000-0010-0000-24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20"/>
    <tableColumn id="2" xr3:uid="{00000000-0010-0000-2500-000002000000}" name="عدد" dataDxfId="1620">
      <calculatedColumnFormula>IF((N2="A1"),2,IF((N2="A2"),3,IF((N2="B1"),2.5,IF((N2="B2"),3,0))))</calculatedColumnFormula>
    </tableColumn>
    <tableColumn id="3" xr3:uid="{00000000-0010-0000-2500-000003000000}" name="بيان" totalsRowLabel="Total" dataDxfId="1620"/>
    <tableColumn id="11" xr3:uid="{00000000-0010-0000-2500-00000B000000}" name="Column2" dataDxfId="1620"/>
    <tableColumn id="10" xr3:uid="{00000000-0010-0000-2500-00000A000000}" name="Column1" dataDxfId="1620"/>
    <tableColumn id="12" xr3:uid="{00000000-0010-0000-2500-00000C000000}" name="المسطح" totalsRowFunction="sum" dataDxfId="1626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23">
      <calculatedColumnFormula>Table158[[#This Row],[المسطح]]*Table158[[#This Row],[عدد]]</calculatedColumnFormula>
    </tableColumn>
    <tableColumn id="7" xr3:uid="{00000000-0010-0000-2500-000007000000}" name="سعر الشبك " dataDxfId="253">
      <calculatedColumnFormula>S6*$S$2/1000</calculatedColumnFormula>
    </tableColumn>
    <tableColumn id="8" xr3:uid="{00000000-0010-0000-2500-000008000000}" name="اجمالي" totalsRowFunction="sum" dataDxfId="16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50" totalsRowDxfId="1651"/>
    <tableColumn id="6" xr3:uid="{00000000-0010-0000-2600-000006000000}" name="الطول بالمتر" dataDxfId="1650" totalsRowDxfId="1651"/>
    <tableColumn id="5" xr3:uid="{00000000-0010-0000-2600-000005000000}" name="وزن المتر " dataDxfId="1650" totalsRowDxfId="1651"/>
    <tableColumn id="4" xr3:uid="{00000000-0010-0000-2600-000004000000}" name="سعر الكيلو" dataDxfId="1650" totalsRowDxfId="1651"/>
    <tableColumn id="3" xr3:uid="{00000000-0010-0000-2600-000003000000}" name="اجمالي عدد " totalsRowFunction="custom" totalsRowDxfId="1651">
      <totalsRowFormula>Table823[[#Totals],[اجمالي التكلفة]]/B1</totalsRowFormula>
    </tableColumn>
    <tableColumn id="2" xr3:uid="{00000000-0010-0000-2600-000002000000}" name="اجمالي التكلفة" totalsRowFunction="sum" dataDxfId="1653" totalsRowDxfId="1654"/>
    <tableColumn id="9" xr3:uid="{00000000-0010-0000-2600-000009000000}" name="Column1" dataDxfId="1650" totalsRowDxfId="1651"/>
    <tableColumn id="10" xr3:uid="{00000000-0010-0000-2600-00000A000000}" name="Column2" dataDxfId="1650" totalsRowDxfId="1651"/>
    <tableColumn id="11" xr3:uid="{00000000-0010-0000-2600-00000B000000}" name="Column3" dataDxfId="1650" totalsRowDxfId="1651"/>
    <tableColumn id="12" xr3:uid="{00000000-0010-0000-2600-00000C000000}" name="Column4" dataDxfId="1650" totalsRowDxfId="1651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20" totalsRowDxfId="1622"/>
    <tableColumn id="2" xr3:uid="{00000000-0010-0000-2700-000002000000}" name="عدد" dataDxfId="1623" totalsRowDxfId="1622"/>
    <tableColumn id="3" xr3:uid="{00000000-0010-0000-2700-000003000000}" name="بيان" totalsRowLabel="Total" dataDxfId="1620" totalsRowDxfId="1622"/>
    <tableColumn id="11" xr3:uid="{00000000-0010-0000-2700-00000B000000}" name="Column2" dataDxfId="1620" totalsRowDxfId="1622"/>
    <tableColumn id="10" xr3:uid="{00000000-0010-0000-2700-00000A000000}" name="Column1" dataDxfId="1620" totalsRowDxfId="1622"/>
    <tableColumn id="12" xr3:uid="{00000000-0010-0000-2700-00000C000000}" name="Column12" dataDxfId="1620" totalsRowDxfId="1622"/>
    <tableColumn id="4" xr3:uid="{00000000-0010-0000-2700-000004000000}" name="الوحده" totalsRowLabel="total" dataDxfId="1620" totalsRowDxfId="1622"/>
    <tableColumn id="5" xr3:uid="{00000000-0010-0000-2700-000005000000}" name="الوزن" dataDxfId="1620" totalsRowDxfId="1622"/>
    <tableColumn id="6" xr3:uid="{00000000-0010-0000-2700-000006000000}" name="سعر الكيلو" dataDxfId="1620" totalsRowDxfId="1622"/>
    <tableColumn id="7" xr3:uid="{00000000-0010-0000-2700-000007000000}" name="سعر الشبك " dataDxfId="1624" totalsRowDxfId="1628">
      <calculatedColumnFormula>Sheet2!B2</calculatedColumnFormula>
    </tableColumn>
    <tableColumn id="8" xr3:uid="{00000000-0010-0000-2700-000008000000}" name="اجمالي" totalsRowFunction="sum" dataDxfId="1625" totalsRowDxfId="1629">
      <calculatedColumnFormula>M26*U26</calculatedColumnFormula>
    </tableColumn>
    <tableColumn id="9" xr3:uid="{00000000-0010-0000-2700-000009000000}" name="%" totalsRowFunction="custom" totalsRowDxfId="16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20" totalsRowDxfId="1621"/>
    <tableColumn id="2" xr3:uid="{00000000-0010-0000-2800-000002000000}" name="عدد" dataDxfId="1623" totalsRowDxfId="1621"/>
    <tableColumn id="3" xr3:uid="{00000000-0010-0000-2800-000003000000}" name="بيان" totalsRowLabel="Total" dataDxfId="1620" totalsRowDxfId="1621"/>
    <tableColumn id="11" xr3:uid="{00000000-0010-0000-2800-00000B000000}" name="Column2" dataDxfId="1620" totalsRowDxfId="1621"/>
    <tableColumn id="10" xr3:uid="{00000000-0010-0000-2800-00000A000000}" name="Column1" dataDxfId="1620" totalsRowDxfId="1621"/>
    <tableColumn id="12" xr3:uid="{00000000-0010-0000-2800-00000C000000}" name="Column12" dataDxfId="1626" totalsRowDxfId="1631"/>
    <tableColumn id="4" xr3:uid="{00000000-0010-0000-2800-000004000000}" name="الوحده" dataDxfId="1620" totalsRowDxfId="1621"/>
    <tableColumn id="5" xr3:uid="{00000000-0010-0000-2800-000005000000}" name="الوزن" dataDxfId="1620" totalsRowDxfId="1621"/>
    <tableColumn id="6" xr3:uid="{00000000-0010-0000-2800-000006000000}" name="سعر الكيلو" dataDxfId="1620" totalsRowDxfId="1621"/>
    <tableColumn id="7" xr3:uid="{00000000-0010-0000-2800-000007000000}" name="سعر الشبك " dataDxfId="1624" totalsRowDxfId="1632">
      <calculatedColumnFormula>Sheet2!B24</calculatedColumnFormula>
    </tableColumn>
    <tableColumn id="8" xr3:uid="{00000000-0010-0000-2800-000008000000}" name="اجمالي" totalsRowFunction="sum" dataDxfId="1625" totalsRowDxfId="1633">
      <calculatedColumnFormula>M11*U11</calculatedColumnFormula>
    </tableColumn>
    <tableColumn id="9" xr3:uid="{00000000-0010-0000-2800-000009000000}" name="%" totalsRowFunction="custom" totalsRowDxfId="163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20"/>
    <tableColumn id="2" xr3:uid="{00000000-0010-0000-2900-000002000000}" name="عدد" totalsRowFunction="count" dataDxfId="1620">
      <calculatedColumnFormula>M20*4</calculatedColumnFormula>
    </tableColumn>
    <tableColumn id="3" xr3:uid="{00000000-0010-0000-2900-000003000000}" name="بيان" totalsRowLabel="Total" dataDxfId="1620"/>
    <tableColumn id="11" xr3:uid="{00000000-0010-0000-2900-00000B000000}" name="Column2" dataDxfId="1620"/>
    <tableColumn id="10" xr3:uid="{00000000-0010-0000-2900-00000A000000}" name="Column1" dataDxfId="1620"/>
    <tableColumn id="12" xr3:uid="{00000000-0010-0000-2900-00000C000000}" name="Column12" totalsRowFunction="sum" dataDxfId="1626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23"/>
    <tableColumn id="7" xr3:uid="{00000000-0010-0000-2900-000007000000}" name="سعر الشبك " dataDxfId="1624">
      <calculatedColumnFormula>S21*$S$2/1000</calculatedColumnFormula>
    </tableColumn>
    <tableColumn id="8" xr3:uid="{00000000-0010-0000-2900-000008000000}" name="اجمالي" totalsRowFunction="sum" dataDxfId="16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35"/>
    <tableColumn id="2" xr3:uid="{00000000-0010-0000-2A00-000002000000}" name="المعدل" dataDxfId="1635"/>
    <tableColumn id="3" xr3:uid="{00000000-0010-0000-2A00-000003000000}" name="الوحدة" dataDxfId="1635"/>
    <tableColumn id="4" xr3:uid="{00000000-0010-0000-2A00-000004000000}" name="Column4" dataDxfId="1642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20" totalsRowDxfId="1622"/>
    <tableColumn id="2" xr3:uid="{00000000-0010-0000-2B00-000002000000}" name="عدد" dataDxfId="1641" totalsRowDxfId="1622">
      <calculatedColumnFormula>IF((تسعير!$BF$14="بالتات"),0,M52-2)</calculatedColumnFormula>
    </tableColumn>
    <tableColumn id="3" xr3:uid="{00000000-0010-0000-2B00-000003000000}" name="بيان" totalsRowLabel="Total" dataDxfId="1638" totalsRowDxfId="1622"/>
    <tableColumn id="5" xr3:uid="{00000000-0010-0000-2B00-000005000000}" name="اليومية / الاجرة" dataDxfId="1638" totalsRowDxfId="1622"/>
    <tableColumn id="6" xr3:uid="{00000000-0010-0000-2B00-000006000000}" name="بدل الوجبة" dataDxfId="1639" totalsRowDxfId="1622"/>
    <tableColumn id="11" xr3:uid="{00000000-0010-0000-2B00-00000B000000}" name="موقع العمل" dataDxfId="1636" totalsRowDxfId="1622">
      <calculatedColumnFormula>تسعير!$BE$4</calculatedColumnFormula>
    </tableColumn>
    <tableColumn id="10" xr3:uid="{00000000-0010-0000-2B00-00000A000000}" name="شيفت العمل" dataDxfId="1620" totalsRowDxfId="1622"/>
    <tableColumn id="12" xr3:uid="{00000000-0010-0000-2B00-00000C000000}" name="Column12" totalsRowFunction="sum" dataDxfId="1626" totalsRowDxfId="1627"/>
    <tableColumn id="4" xr3:uid="{00000000-0010-0000-2B00-000004000000}" name="عدد الايام" dataDxfId="1647" totalsRowDxfId="1622"/>
    <tableColumn id="7" xr3:uid="{00000000-0010-0000-2B00-000007000000}" name="اجمالي التكلفة للعامل" dataDxfId="1648" totalsRowDxfId="1628">
      <calculatedColumnFormula>Table16126744[[#This Row],[Column12]]</calculatedColumnFormula>
    </tableColumn>
    <tableColumn id="8" xr3:uid="{00000000-0010-0000-2B00-000008000000}" name="اجمالي" totalsRowFunction="sum" dataDxfId="1625" totalsRowDxfId="1629">
      <calculatedColumnFormula>M55*U55</calculatedColumnFormula>
    </tableColumn>
    <tableColumn id="9" xr3:uid="{00000000-0010-0000-2B00-000009000000}" name="%" totalsRowFunction="custom" totalsRowDxfId="16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0" dataDxfId="1594">
  <autoFilter ref="AH45:AL46" xr:uid="{F536301D-E310-4931-B653-AD9E1B7B09D3}"/>
  <tableColumns count="5">
    <tableColumn id="1" xr3:uid="{B66822DD-66EA-47D6-AC82-0B29ADD627D6}" name="المنتج" dataDxfId="1615"/>
    <tableColumn id="2" xr3:uid="{AE833311-1057-4EA5-AA4E-EE00ACCD3B4E}" name="العرض" dataDxfId="1615"/>
    <tableColumn id="3" xr3:uid="{31367D99-4075-4A3C-BDF9-E043012B0CE2}" name="الامتداد" dataDxfId="1615"/>
    <tableColumn id="4" xr3:uid="{9BAFA9A6-E27F-4459-96B4-2DA640D3F881}" name="لون الشاسية" dataDxfId="1615"/>
    <tableColumn id="5" xr3:uid="{6FCA19AB-1A7F-4808-8A43-2747203A7904}" name="لون  السيستم / اللوفرز" dataDxfId="1615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36"/>
    <tableColumn id="2" xr3:uid="{00000000-0010-0000-2C00-000002000000}" name="عدد" dataDxfId="1641">
      <calculatedColumnFormula>IF((Q65="الاسكندرية"),0.25,0.1)</calculatedColumnFormula>
    </tableColumn>
    <tableColumn id="3" xr3:uid="{00000000-0010-0000-2C00-000003000000}" name="بيان" totalsRowLabel="Total" dataDxfId="1636"/>
    <tableColumn id="11" xr3:uid="{00000000-0010-0000-2C00-00000B000000}" name="Column2" dataDxfId="1636"/>
    <tableColumn id="10" xr3:uid="{00000000-0010-0000-2C00-00000A000000}" name="Column1" dataDxfId="1636"/>
    <tableColumn id="12" xr3:uid="{00000000-0010-0000-2C00-00000C000000}" name="Column12" totalsRowFunction="sum" dataDxfId="1652"/>
    <tableColumn id="4" xr3:uid="{00000000-0010-0000-2C00-000004000000}" name="الوحده" dataDxfId="1637"/>
    <tableColumn id="5" xr3:uid="{00000000-0010-0000-2C00-000005000000}" name="الوزن" dataDxfId="1636"/>
    <tableColumn id="6" xr3:uid="{00000000-0010-0000-2C00-000006000000}" name="سعر الكيلو" dataDxfId="1636"/>
    <tableColumn id="7" xr3:uid="{00000000-0010-0000-2C00-000007000000}" name="سعر الشبك " dataDxfId="1646">
      <calculatedColumnFormula>V48</calculatedColumnFormula>
    </tableColumn>
    <tableColumn id="8" xr3:uid="{00000000-0010-0000-2C00-000008000000}" name="اجمالي" totalsRowFunction="sum" dataDxfId="16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40">
  <autoFilter ref="Y1:AE20" xr:uid="{00000000-0009-0000-0100-00002D000000}"/>
  <tableColumns count="7">
    <tableColumn id="1" xr3:uid="{00000000-0010-0000-2D00-000001000000}" name="Column1" dataDxfId="1640"/>
    <tableColumn id="2" xr3:uid="{00000000-0010-0000-2D00-000002000000}" name="خارجي" dataDxfId="1640"/>
    <tableColumn id="3" xr3:uid="{00000000-0010-0000-2D00-000003000000}" name="داخلي" dataDxfId="1640"/>
    <tableColumn id="4" xr3:uid="{00000000-0010-0000-2D00-000004000000}" name="بدل الوجبة" dataDxfId="1640"/>
    <tableColumn id="5" xr3:uid="{00000000-0010-0000-2D00-000005000000}" name="دبابة" dataDxfId="1640"/>
    <tableColumn id="6" xr3:uid="{00000000-0010-0000-2D00-000006000000}" name="جامبو" dataDxfId="1640"/>
    <tableColumn id="7" xr3:uid="{00000000-0010-0000-2D00-000007000000}" name="الاقامة" dataDxfId="164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36"/>
    <tableColumn id="4" xr3:uid="{00000000-0010-0000-2E00-000004000000}" name="Column22" dataDxfId="1636"/>
    <tableColumn id="5" xr3:uid="{00000000-0010-0000-2E00-000005000000}" name="Column23" dataDxfId="1636"/>
    <tableColumn id="3" xr3:uid="{00000000-0010-0000-2E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20"/>
    <tableColumn id="2" xr3:uid="{00000000-0010-0000-2F00-000002000000}" name="عدد" dataDxfId="1620">
      <calculatedColumnFormula>IF((N2="c1"),3,IF((N2="c2"),4,IF((N2="d1"),4,IF((N2="d2"),5,0))))</calculatedColumnFormula>
    </tableColumn>
    <tableColumn id="3" xr3:uid="{00000000-0010-0000-2F00-000003000000}" name="بيان" totalsRowLabel="Total" dataDxfId="1620"/>
    <tableColumn id="11" xr3:uid="{00000000-0010-0000-2F00-00000B000000}" name="Column2" dataDxfId="1620"/>
    <tableColumn id="10" xr3:uid="{00000000-0010-0000-2F00-00000A000000}" name="Column1" dataDxfId="1620"/>
    <tableColumn id="12" xr3:uid="{00000000-0010-0000-2F00-00000C000000}" name="المسطح" totalsRowFunction="sum" dataDxfId="1626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23"/>
    <tableColumn id="7" xr3:uid="{00000000-0010-0000-2F00-000007000000}" name="سعر الشبك " dataDxfId="1655">
      <calculatedColumnFormula>S6*$S$2/1000</calculatedColumnFormula>
    </tableColumn>
    <tableColumn id="8" xr3:uid="{00000000-0010-0000-2F00-000008000000}" name="اجمالي" totalsRowFunction="sum" dataDxfId="16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1650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1650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50" totalsRowDxfId="913"/>
    <tableColumn id="2" xr3:uid="{00000000-0010-0000-3200-000002000000}" name="عدد/الشمسية" dataDxfId="889" totalsRowDxfId="909"/>
    <tableColumn id="3" xr3:uid="{00000000-0010-0000-3200-000003000000}" name="سعر الوحدة" dataDxfId="1650" totalsRowDxfId="1656"/>
    <tableColumn id="4" xr3:uid="{00000000-0010-0000-3200-000004000000}" name="قيمة" totalsRowFunction="sum" dataDxfId="1650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50"/>
    <tableColumn id="2" xr3:uid="{00000000-0010-0000-3300-000002000000}" name="امتار عادية" dataDxfId="1650"/>
    <tableColumn id="4" xr3:uid="{00000000-0010-0000-3300-000004000000}" name="امتار single" dataDxfId="1650"/>
    <tableColumn id="6" xr3:uid="{00000000-0010-0000-3300-000006000000}" name="امتار douple" dataDxfId="1650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50"/>
    <tableColumn id="2" xr3:uid="{00000000-0010-0000-3400-000002000000}" name="Column2" dataDxfId="1650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616" totalsRowDxfId="1587"/>
    <tableColumn id="3" xr3:uid="{FA2200A0-4790-4626-B4EF-26AF375E7D08}" name="الوحده" dataDxfId="1616" totalsRowDxfId="161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616" totalsRowDxfId="1618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5">
      <calculatedColumnFormula>U4*S4</calculatedColumnFormula>
    </tableColumn>
    <tableColumn id="12" xr3:uid="{D07D845E-2930-453E-8278-6592A65F5FE9}" name="2.5" totalsRowFunction="sum" dataDxfId="1576" totalsRowDxfId="7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1657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1658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659"/>
    <tableColumn id="2" xr3:uid="{00000000-0010-0000-3800-000002000000}" name="Column2" dataDxfId="1650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50" totalsRowDxfId="1631"/>
    <tableColumn id="2" xr3:uid="{00000000-0010-0000-3900-000002000000}" name="عدد/الشمسية" dataDxfId="1660" totalsRowDxfId="1631"/>
    <tableColumn id="3" xr3:uid="{00000000-0010-0000-3900-000003000000}" name="سعر الوحدة" dataDxfId="1650" totalsRowDxfId="1631"/>
    <tableColumn id="4" xr3:uid="{00000000-0010-0000-3900-000004000000}" name="قيمة" totalsRowFunction="sum" dataDxfId="1650" totalsRowDxfId="1631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50"/>
    <tableColumn id="2" xr3:uid="{00000000-0010-0000-3A00-000002000000}" name="امتار عادية" dataDxfId="1650"/>
    <tableColumn id="4" xr3:uid="{00000000-0010-0000-3A00-000004000000}" name="امتار single" dataDxfId="1650"/>
    <tableColumn id="6" xr3:uid="{00000000-0010-0000-3A00-000006000000}" name="امتار douple" dataDxfId="165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50"/>
    <tableColumn id="2" xr3:uid="{00000000-0010-0000-3B00-000002000000}" name="Column2" dataDxfId="16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1661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61"/>
    <tableColumn id="2" xr3:uid="{00000000-0010-0000-3D00-000002000000}" name="الناتج" dataDxfId="874"/>
    <tableColumn id="3" xr3:uid="{00000000-0010-0000-3D00-000003000000}" name="Column1" dataDxfId="1661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54" totalsRowDxfId="853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1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41" totalsRowDxfId="1622">
      <calculatedColumnFormula>I28</calculatedColumnFormula>
    </tableColumn>
    <tableColumn id="3" xr3:uid="{00000000-0010-0000-3F00-000003000000}" name="بيان" totalsRowLabel="Total" dataDxfId="18" totalsRowDxfId="1622"/>
    <tableColumn id="5" xr3:uid="{00000000-0010-0000-3F00-000005000000}" name="اليومية / الاجرة" dataDxfId="1638" totalsRowDxfId="1622"/>
    <tableColumn id="6" xr3:uid="{00000000-0010-0000-3F00-000006000000}" name="بدل الوجبة" dataDxfId="1639" totalsRowDxfId="1622"/>
    <tableColumn id="11" xr3:uid="{00000000-0010-0000-3F00-00000B000000}" name="موقع العمل" dataDxfId="1636" totalsRowDxfId="1622">
      <calculatedColumnFormula>تسعير!$T$45</calculatedColumnFormula>
    </tableColumn>
    <tableColumn id="10" xr3:uid="{00000000-0010-0000-3F00-00000A000000}" name="شيفت العمل" dataDxfId="1620" totalsRowDxfId="1622"/>
    <tableColumn id="12" xr3:uid="{00000000-0010-0000-3F00-00000C000000}" name="Column12" totalsRowFunction="sum" dataDxfId="1626" totalsRowDxfId="1627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47" totalsRowDxfId="1622"/>
    <tableColumn id="7" xr3:uid="{00000000-0010-0000-3F00-000007000000}" name="اجمالي التكلفة للعامل" dataDxfId="1648" totalsRowDxfId="1628">
      <calculatedColumnFormula>Table161243[[#This Row],[Column12]]</calculatedColumnFormula>
    </tableColumn>
    <tableColumn id="8" xr3:uid="{00000000-0010-0000-3F00-000008000000}" name="اجمالي" totalsRowFunction="sum" dataDxfId="1625" totalsRowDxfId="1629">
      <calculatedColumnFormula>I31*Q31</calculatedColumnFormula>
    </tableColumn>
    <tableColumn id="9" xr3:uid="{00000000-0010-0000-3F00-000009000000}" name="%" totalsRowFunction="custom" totalsRowDxfId="16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36"/>
    <tableColumn id="4" xr3:uid="{00000000-0010-0000-4000-000004000000}" name="Column22" dataDxfId="1636"/>
    <tableColumn id="5" xr3:uid="{00000000-0010-0000-4000-000005000000}" name="Column23" dataDxfId="1636"/>
    <tableColumn id="3" xr3:uid="{00000000-0010-0000-4000-000003000000}" name="Column3" dataDxfId="16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662" totalsRowDxfId="166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1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1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41" totalsRowDxfId="1622">
      <calculatedColumnFormula>I61</calculatedColumnFormula>
    </tableColumn>
    <tableColumn id="3" xr3:uid="{00000000-0010-0000-4200-000003000000}" name="بيان" totalsRowLabel="Total" dataDxfId="1664" totalsRowDxfId="1622"/>
    <tableColumn id="5" xr3:uid="{00000000-0010-0000-4200-000005000000}" name="اليومية / الاجرة" dataDxfId="1638" totalsRowDxfId="1622"/>
    <tableColumn id="6" xr3:uid="{00000000-0010-0000-4200-000006000000}" name="بدل الوجبة" dataDxfId="1639" totalsRowDxfId="1622"/>
    <tableColumn id="11" xr3:uid="{00000000-0010-0000-4200-00000B000000}" name="موقع العمل" dataDxfId="1636" totalsRowDxfId="1622">
      <calculatedColumnFormula>تسعير!$T$63</calculatedColumnFormula>
    </tableColumn>
    <tableColumn id="10" xr3:uid="{00000000-0010-0000-4200-00000A000000}" name="شيفت العمل" dataDxfId="1620" totalsRowDxfId="1622"/>
    <tableColumn id="12" xr3:uid="{00000000-0010-0000-4200-00000C000000}" name="Column12" totalsRowFunction="sum" dataDxfId="1626" totalsRowDxfId="1627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47" totalsRowDxfId="1622"/>
    <tableColumn id="7" xr3:uid="{00000000-0010-0000-4200-000007000000}" name="اجمالي التكلفة للعامل" dataDxfId="1648" totalsRowDxfId="1628">
      <calculatedColumnFormula>Table16124360[[#This Row],[Column12]]</calculatedColumnFormula>
    </tableColumn>
    <tableColumn id="8" xr3:uid="{00000000-0010-0000-4200-000008000000}" name="اجمالي" totalsRowFunction="sum" dataDxfId="1625" totalsRowDxfId="1629">
      <calculatedColumnFormula>I64*Q64</calculatedColumnFormula>
    </tableColumn>
    <tableColumn id="9" xr3:uid="{00000000-0010-0000-4200-000009000000}" name="%" totalsRowFunction="custom" totalsRowDxfId="16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36"/>
    <tableColumn id="4" xr3:uid="{00000000-0010-0000-4300-000004000000}" name="Column22" dataDxfId="1636"/>
    <tableColumn id="5" xr3:uid="{00000000-0010-0000-4300-000005000000}" name="Column23" dataDxfId="1636"/>
    <tableColumn id="3" xr3:uid="{00000000-0010-0000-4300-000003000000}" name="Column3" dataDxfId="16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20" totalsRowDxfId="1622"/>
    <tableColumn id="2" xr3:uid="{00000000-0010-0000-4400-000002000000}" name="عدد" dataDxfId="1623" totalsRowDxfId="1622"/>
    <tableColumn id="3" xr3:uid="{00000000-0010-0000-4400-000003000000}" name="بيان" totalsRowLabel="Total" dataDxfId="1620" totalsRowDxfId="1622"/>
    <tableColumn id="11" xr3:uid="{00000000-0010-0000-4400-00000B000000}" name="Column2" dataDxfId="1620" totalsRowDxfId="1622"/>
    <tableColumn id="10" xr3:uid="{00000000-0010-0000-4400-00000A000000}" name="Column1" dataDxfId="1620" totalsRowDxfId="1622"/>
    <tableColumn id="12" xr3:uid="{00000000-0010-0000-4400-00000C000000}" name="Column12" dataDxfId="1620" totalsRowDxfId="1622"/>
    <tableColumn id="4" xr3:uid="{00000000-0010-0000-4400-000004000000}" name="الوحده" totalsRowLabel="total" dataDxfId="1620" totalsRowDxfId="1622"/>
    <tableColumn id="5" xr3:uid="{00000000-0010-0000-4400-000005000000}" name="الوزن" dataDxfId="1620" totalsRowDxfId="1622"/>
    <tableColumn id="6" xr3:uid="{00000000-0010-0000-4400-000006000000}" name="سعر الكيلو" dataDxfId="1620" totalsRowDxfId="1622"/>
    <tableColumn id="7" xr3:uid="{00000000-0010-0000-4400-000007000000}" name="سعر الشبك " dataDxfId="1624" totalsRowDxfId="1628">
      <calculatedColumnFormula>Sheet2!B6</calculatedColumnFormula>
    </tableColumn>
    <tableColumn id="8" xr3:uid="{00000000-0010-0000-4400-000008000000}" name="اجمالي" totalsRowFunction="sum" dataDxfId="1625" totalsRowDxfId="1629">
      <calculatedColumnFormula>M28*U28</calculatedColumnFormula>
    </tableColumn>
    <tableColumn id="9" xr3:uid="{00000000-0010-0000-4400-000009000000}" name="%" totalsRowFunction="custom" totalsRowDxfId="16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20" totalsRowDxfId="1621"/>
    <tableColumn id="2" xr3:uid="{00000000-0010-0000-4500-000002000000}" name="عدد" dataDxfId="1623" totalsRowDxfId="1621"/>
    <tableColumn id="3" xr3:uid="{00000000-0010-0000-4500-000003000000}" name="بيان" totalsRowLabel="Total" dataDxfId="1620" totalsRowDxfId="1621"/>
    <tableColumn id="11" xr3:uid="{00000000-0010-0000-4500-00000B000000}" name="Column2" dataDxfId="1620" totalsRowDxfId="1621"/>
    <tableColumn id="10" xr3:uid="{00000000-0010-0000-4500-00000A000000}" name="Column1" dataDxfId="1620" totalsRowDxfId="1621"/>
    <tableColumn id="12" xr3:uid="{00000000-0010-0000-4500-00000C000000}" name="Column12" dataDxfId="1626" totalsRowDxfId="1631"/>
    <tableColumn id="4" xr3:uid="{00000000-0010-0000-4500-000004000000}" name="الوحده" dataDxfId="1620" totalsRowDxfId="1621"/>
    <tableColumn id="5" xr3:uid="{00000000-0010-0000-4500-000005000000}" name="الوزن" dataDxfId="1620" totalsRowDxfId="1621"/>
    <tableColumn id="6" xr3:uid="{00000000-0010-0000-4500-000006000000}" name="سعر الكيلو" dataDxfId="1620" totalsRowDxfId="1621"/>
    <tableColumn id="7" xr3:uid="{00000000-0010-0000-4500-000007000000}" name="سعر الشبك " dataDxfId="1624" totalsRowDxfId="1632">
      <calculatedColumnFormula>Sheet2!B26</calculatedColumnFormula>
    </tableColumn>
    <tableColumn id="8" xr3:uid="{00000000-0010-0000-4500-000008000000}" name="اجمالي" totalsRowFunction="sum" dataDxfId="1625" totalsRowDxfId="1633">
      <calculatedColumnFormula>M14*U14</calculatedColumnFormula>
    </tableColumn>
    <tableColumn id="9" xr3:uid="{00000000-0010-0000-4500-000009000000}" name="%" totalsRowFunction="custom" totalsRowDxfId="163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20"/>
    <tableColumn id="2" xr3:uid="{00000000-0010-0000-4600-000002000000}" name="عدد" totalsRowFunction="count" dataDxfId="1620">
      <calculatedColumnFormula>M20*4</calculatedColumnFormula>
    </tableColumn>
    <tableColumn id="3" xr3:uid="{00000000-0010-0000-4600-000003000000}" name="بيان" totalsRowLabel="Total" dataDxfId="1620"/>
    <tableColumn id="11" xr3:uid="{00000000-0010-0000-4600-00000B000000}" name="Column2" dataDxfId="1620"/>
    <tableColumn id="10" xr3:uid="{00000000-0010-0000-4600-00000A000000}" name="Column1" dataDxfId="1620"/>
    <tableColumn id="12" xr3:uid="{00000000-0010-0000-4600-00000C000000}" name="Column12" totalsRowFunction="sum" dataDxfId="1626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23"/>
    <tableColumn id="7" xr3:uid="{00000000-0010-0000-4600-000007000000}" name="سعر الشبك " dataDxfId="1624">
      <calculatedColumnFormula>S22*$S$2/1000</calculatedColumnFormula>
    </tableColumn>
    <tableColumn id="8" xr3:uid="{00000000-0010-0000-4600-000008000000}" name="اجمالي" totalsRowFunction="sum" dataDxfId="16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35"/>
    <tableColumn id="2" xr3:uid="{00000000-0010-0000-4700-000002000000}" name="المعدل" dataDxfId="1635"/>
    <tableColumn id="3" xr3:uid="{00000000-0010-0000-4700-000003000000}" name="الوحدة" dataDxfId="1635"/>
    <tableColumn id="4" xr3:uid="{00000000-0010-0000-4700-000004000000}" name="Column4" dataDxfId="1642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35"/>
    <tableColumn id="2" xr3:uid="{00000000-0010-0000-4800-000002000000}" name="Column2" dataDxfId="1642"/>
    <tableColumn id="3" xr3:uid="{00000000-0010-0000-4800-000003000000}" name="Column3" dataDxfId="1635"/>
    <tableColumn id="4" xr3:uid="{00000000-0010-0000-4800-000004000000}" name="Column4" dataDxfId="1635"/>
    <tableColumn id="5" xr3:uid="{00000000-0010-0000-4800-000005000000}" name="Column5" dataDxfId="163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20" totalsRowDxfId="1622"/>
    <tableColumn id="2" xr3:uid="{00000000-0010-0000-4900-000002000000}" name="عدد" dataDxfId="1641" totalsRowDxfId="1622">
      <calculatedColumnFormula>IF((تسعير!$AU$14="بالتات"),0,M49-2)</calculatedColumnFormula>
    </tableColumn>
    <tableColumn id="3" xr3:uid="{00000000-0010-0000-4900-000003000000}" name="بيان" totalsRowLabel="Total" dataDxfId="1638" totalsRowDxfId="1622"/>
    <tableColumn id="5" xr3:uid="{00000000-0010-0000-4900-000005000000}" name="اليومية / الاجرة" dataDxfId="1638" totalsRowDxfId="1622"/>
    <tableColumn id="6" xr3:uid="{00000000-0010-0000-4900-000006000000}" name="بدل الوجبة" dataDxfId="1639" totalsRowDxfId="1622"/>
    <tableColumn id="11" xr3:uid="{00000000-0010-0000-4900-00000B000000}" name="موقع العمل" dataDxfId="1636" totalsRowDxfId="1622">
      <calculatedColumnFormula>تسعير!$AT$24</calculatedColumnFormula>
    </tableColumn>
    <tableColumn id="10" xr3:uid="{00000000-0010-0000-4900-00000A000000}" name="شيفت العمل" dataDxfId="1620" totalsRowDxfId="1622"/>
    <tableColumn id="12" xr3:uid="{00000000-0010-0000-4900-00000C000000}" name="Column12" totalsRowFunction="sum" dataDxfId="1626" totalsRowDxfId="1627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47" totalsRowDxfId="1622"/>
    <tableColumn id="7" xr3:uid="{00000000-0010-0000-4900-000007000000}" name="اجمالي التكلفة للعامل" dataDxfId="1648" totalsRowDxfId="1628">
      <calculatedColumnFormula>Table16126776[[#This Row],[Column12]]</calculatedColumnFormula>
    </tableColumn>
    <tableColumn id="8" xr3:uid="{00000000-0010-0000-4900-000008000000}" name="اجمالي" totalsRowFunction="sum" dataDxfId="1625" totalsRowDxfId="1629">
      <calculatedColumnFormula>M52*U52</calculatedColumnFormula>
    </tableColumn>
    <tableColumn id="9" xr3:uid="{00000000-0010-0000-4900-000009000000}" name="%" totalsRowFunction="custom" totalsRowDxfId="16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61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36" totalsRowDxfId="1621"/>
    <tableColumn id="2" xr3:uid="{00000000-0010-0000-4A00-000002000000}" name="عدد" dataDxfId="1641" totalsRowDxfId="1621">
      <calculatedColumnFormula>IF((Q63="الاسكندرية"),0.25,0.1)</calculatedColumnFormula>
    </tableColumn>
    <tableColumn id="3" xr3:uid="{00000000-0010-0000-4A00-000003000000}" name="بيان" totalsRowLabel="Total" dataDxfId="1636" totalsRowDxfId="1621"/>
    <tableColumn id="11" xr3:uid="{00000000-0010-0000-4A00-00000B000000}" name="Column2" dataDxfId="1636" totalsRowDxfId="1621"/>
    <tableColumn id="10" xr3:uid="{00000000-0010-0000-4A00-00000A000000}" name="Column1" dataDxfId="1636" totalsRowDxfId="1621"/>
    <tableColumn id="12" xr3:uid="{00000000-0010-0000-4A00-00000C000000}" name="Column12" totalsRowFunction="sum" dataDxfId="1652" totalsRowDxfId="1631"/>
    <tableColumn id="4" xr3:uid="{00000000-0010-0000-4A00-000004000000}" name="الوحده" dataDxfId="1637" totalsRowDxfId="1621"/>
    <tableColumn id="5" xr3:uid="{00000000-0010-0000-4A00-000005000000}" name="الوزن" dataDxfId="1636" totalsRowDxfId="1621"/>
    <tableColumn id="6" xr3:uid="{00000000-0010-0000-4A00-000006000000}" name="سعر الكيلو" dataDxfId="1636" totalsRowDxfId="1621"/>
    <tableColumn id="7" xr3:uid="{00000000-0010-0000-4A00-000007000000}" name="سعر الشبك " dataDxfId="1646" totalsRowDxfId="1632">
      <calculatedColumnFormula>Table80102114[[#Totals],[price]]</calculatedColumnFormula>
    </tableColumn>
    <tableColumn id="8" xr3:uid="{00000000-0010-0000-4A00-000008000000}" name="اجمالي" totalsRowFunction="sum" dataDxfId="1625" totalsRowDxfId="1633">
      <calculatedColumnFormula>M47*Table16136877[[#This Row],[سعر الشبك ]]</calculatedColumnFormula>
    </tableColumn>
    <tableColumn id="9" xr3:uid="{00000000-0010-0000-4A00-000009000000}" name="%" totalsRowFunction="custom" totalsRowDxfId="163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35"/>
    <tableColumn id="2" xr3:uid="{00000000-0010-0000-4B00-000002000000}" name="خارجي" dataDxfId="1635"/>
    <tableColumn id="3" xr3:uid="{00000000-0010-0000-4B00-000003000000}" name="داخلي" dataDxfId="1635"/>
    <tableColumn id="4" xr3:uid="{00000000-0010-0000-4B00-000004000000}" name="بدل الوجبة" dataDxfId="1635"/>
    <tableColumn id="5" xr3:uid="{00000000-0010-0000-4B00-000005000000}" name="دبابة" dataDxfId="1635"/>
    <tableColumn id="6" xr3:uid="{00000000-0010-0000-4B00-000006000000}" name="جامبو" dataDxfId="1635"/>
    <tableColumn id="7" xr3:uid="{00000000-0010-0000-4B00-000007000000}" name="الاقامة" dataDxfId="163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36"/>
    <tableColumn id="4" xr3:uid="{00000000-0010-0000-4C00-000004000000}" name="Column22" dataDxfId="1636"/>
    <tableColumn id="5" xr3:uid="{00000000-0010-0000-4C00-000005000000}" name="Column23" dataDxfId="1636"/>
    <tableColumn id="3" xr3:uid="{00000000-0010-0000-4C00-000003000000}" name="Column3" dataDxfId="16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20" totalsRowDxfId="1621"/>
    <tableColumn id="2" xr3:uid="{00000000-0010-0000-4D00-000002000000}" name="عدد" dataDxfId="1620" totalsRowDxfId="1621"/>
    <tableColumn id="3" xr3:uid="{00000000-0010-0000-4D00-000003000000}" name="بيان" totalsRowLabel="Total" dataDxfId="1620" totalsRowDxfId="1621"/>
    <tableColumn id="11" xr3:uid="{00000000-0010-0000-4D00-00000B000000}" name="Column2" dataDxfId="1620" totalsRowDxfId="1621"/>
    <tableColumn id="10" xr3:uid="{00000000-0010-0000-4D00-00000A000000}" name="Column1" dataDxfId="1620" totalsRowDxfId="1621"/>
    <tableColumn id="12" xr3:uid="{00000000-0010-0000-4D00-00000C000000}" name="المسطح" totalsRowFunction="sum" dataDxfId="1626" totalsRowDxfId="16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20" totalsRowDxfId="1621"/>
    <tableColumn id="5" xr3:uid="{00000000-0010-0000-4D00-000005000000}" name="الوزن" totalsRowFunction="custom" totalsRowDxfId="1621">
      <totalsRowFormula>(S6*M6)+(S7*M7)+(M8*S8)+(S9*M9)</totalsRowFormula>
    </tableColumn>
    <tableColumn id="6" xr3:uid="{00000000-0010-0000-4D00-000006000000}" name="اجمالي المسطح" totalsRowFunction="sum" dataDxfId="1623" totalsRowDxfId="1621">
      <calculatedColumnFormula>Table15880[[#This Row],[المسطح]]*Table15880[[#This Row],[عدد]]</calculatedColumnFormula>
    </tableColumn>
    <tableColumn id="7" xr3:uid="{00000000-0010-0000-4D00-000007000000}" name="سعر الشبك " dataDxfId="1655" totalsRowDxfId="1632">
      <calculatedColumnFormula>S6*$S$2/1000</calculatedColumnFormula>
    </tableColumn>
    <tableColumn id="8" xr3:uid="{00000000-0010-0000-4D00-000008000000}" name="اجمالي" totalsRowFunction="sum" dataDxfId="1625" totalsRowDxfId="1633">
      <calculatedColumnFormula>M6*U6</calculatedColumnFormula>
    </tableColumn>
    <tableColumn id="9" xr3:uid="{00000000-0010-0000-4D00-000009000000}" name="%" totalsRowFunction="custom" totalsRowDxfId="163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20" totalsRowDxfId="1622"/>
    <tableColumn id="2" xr3:uid="{00000000-0010-0000-4E00-000002000000}" name="عدد" dataDxfId="1623" totalsRowDxfId="162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20" totalsRowDxfId="1622"/>
    <tableColumn id="11" xr3:uid="{00000000-0010-0000-4E00-00000B000000}" name="Column2" dataDxfId="1620" totalsRowDxfId="1622"/>
    <tableColumn id="10" xr3:uid="{00000000-0010-0000-4E00-00000A000000}" name="Column1" dataDxfId="1620" totalsRowDxfId="1622"/>
    <tableColumn id="12" xr3:uid="{00000000-0010-0000-4E00-00000C000000}" name="Column12" dataDxfId="1620" totalsRowDxfId="1622"/>
    <tableColumn id="4" xr3:uid="{00000000-0010-0000-4E00-000004000000}" name="الوحده" totalsRowLabel="total" dataDxfId="1620" totalsRowDxfId="1622"/>
    <tableColumn id="5" xr3:uid="{00000000-0010-0000-4E00-000005000000}" name="الوزن" dataDxfId="1620" totalsRowDxfId="1622"/>
    <tableColumn id="6" xr3:uid="{00000000-0010-0000-4E00-000006000000}" name="سعر الكيلو" dataDxfId="1620" totalsRowDxfId="1622"/>
    <tableColumn id="7" xr3:uid="{00000000-0010-0000-4E00-000007000000}" name="سعر الشبك " dataDxfId="1624" totalsRowDxfId="1628">
      <calculatedColumnFormula>Sheet2!B6</calculatedColumnFormula>
    </tableColumn>
    <tableColumn id="8" xr3:uid="{00000000-0010-0000-4E00-000008000000}" name="اجمالي" totalsRowFunction="sum" dataDxfId="1625" totalsRowDxfId="1629">
      <calculatedColumnFormula>M99*U100</calculatedColumnFormula>
    </tableColumn>
    <tableColumn id="9" xr3:uid="{00000000-0010-0000-4E00-000009000000}" name="%" totalsRowFunction="custom" totalsRowDxfId="16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20" totalsRowDxfId="1621"/>
    <tableColumn id="2" xr3:uid="{00000000-0010-0000-4F00-000002000000}" name="عدد" dataDxfId="1623" totalsRowDxfId="1621">
      <calculatedColumnFormula>IF((I70="بالتات"),0,4)</calculatedColumnFormula>
    </tableColumn>
    <tableColumn id="3" xr3:uid="{00000000-0010-0000-4F00-000003000000}" name="بيان" totalsRowLabel="Total" dataDxfId="1620" totalsRowDxfId="1621"/>
    <tableColumn id="11" xr3:uid="{00000000-0010-0000-4F00-00000B000000}" name="Column2" dataDxfId="1620" totalsRowDxfId="1621"/>
    <tableColumn id="10" xr3:uid="{00000000-0010-0000-4F00-00000A000000}" name="Column1" dataDxfId="1620" totalsRowDxfId="1621"/>
    <tableColumn id="12" xr3:uid="{00000000-0010-0000-4F00-00000C000000}" name="Column12" dataDxfId="1626" totalsRowDxfId="1631"/>
    <tableColumn id="4" xr3:uid="{00000000-0010-0000-4F00-000004000000}" name="الوحده" dataDxfId="1620" totalsRowDxfId="1621"/>
    <tableColumn id="5" xr3:uid="{00000000-0010-0000-4F00-000005000000}" name="الوزن" dataDxfId="1620" totalsRowDxfId="1621"/>
    <tableColumn id="6" xr3:uid="{00000000-0010-0000-4F00-000006000000}" name="سعر الكيلو" dataDxfId="1620" totalsRowDxfId="1621"/>
    <tableColumn id="7" xr3:uid="{00000000-0010-0000-4F00-000007000000}" name="سعر الشبك " dataDxfId="1624" totalsRowDxfId="1632">
      <calculatedColumnFormula>Sheet2!B26</calculatedColumnFormula>
    </tableColumn>
    <tableColumn id="8" xr3:uid="{00000000-0010-0000-4F00-000008000000}" name="اجمالي" totalsRowFunction="sum" dataDxfId="1625" totalsRowDxfId="1633">
      <calculatedColumnFormula>M85*U85</calculatedColumnFormula>
    </tableColumn>
    <tableColumn id="9" xr3:uid="{00000000-0010-0000-4F00-000009000000}" name="%" totalsRowFunction="custom" totalsRowDxfId="163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20"/>
    <tableColumn id="2" xr3:uid="{00000000-0010-0000-5000-000002000000}" name="عدد" totalsRowFunction="sum" dataDxfId="1620">
      <calculatedColumnFormula>M91*4</calculatedColumnFormula>
    </tableColumn>
    <tableColumn id="3" xr3:uid="{00000000-0010-0000-5000-000003000000}" name="بيان" totalsRowLabel="Total" dataDxfId="1620"/>
    <tableColumn id="11" xr3:uid="{00000000-0010-0000-5000-00000B000000}" name="Column2" dataDxfId="1620"/>
    <tableColumn id="10" xr3:uid="{00000000-0010-0000-5000-00000A000000}" name="Column1" dataDxfId="1620"/>
    <tableColumn id="12" xr3:uid="{00000000-0010-0000-5000-00000C000000}" name="Column12" totalsRowFunction="sum" dataDxfId="1626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23"/>
    <tableColumn id="7" xr3:uid="{00000000-0010-0000-5000-000007000000}" name="سعر الشبك " dataDxfId="1624">
      <calculatedColumnFormula>S93*$S$2/1000</calculatedColumnFormula>
    </tableColumn>
    <tableColumn id="8" xr3:uid="{00000000-0010-0000-5000-000008000000}" name="اجمالي" totalsRowFunction="sum" dataDxfId="16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35"/>
    <tableColumn id="2" xr3:uid="{00000000-0010-0000-5100-000002000000}" name="المعدل" dataDxfId="1635"/>
    <tableColumn id="3" xr3:uid="{00000000-0010-0000-5100-000003000000}" name="الوحدة" dataDxfId="1635"/>
    <tableColumn id="4" xr3:uid="{00000000-0010-0000-5100-000004000000}" name="Column4" dataDxfId="1642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35"/>
    <tableColumn id="2" xr3:uid="{00000000-0010-0000-5200-000002000000}" name="Column2" dataDxfId="1642"/>
    <tableColumn id="3" xr3:uid="{00000000-0010-0000-5200-000003000000}" name="Column3" dataDxfId="1635"/>
    <tableColumn id="4" xr3:uid="{00000000-0010-0000-5200-000004000000}" name="Column4" dataDxfId="1635"/>
    <tableColumn id="5" xr3:uid="{00000000-0010-0000-5200-000005000000}" name="Column5" dataDxfId="163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20" totalsRowDxfId="1622"/>
    <tableColumn id="2" xr3:uid="{00000000-0010-0000-5300-000002000000}" name="عدد" dataDxfId="1641" totalsRowDxfId="1622">
      <calculatedColumnFormula>IF((تسعير!$AU$14="بالتات"),0,M120-2)</calculatedColumnFormula>
    </tableColumn>
    <tableColumn id="3" xr3:uid="{00000000-0010-0000-5300-000003000000}" name="بيان" totalsRowLabel="Total" dataDxfId="1638" totalsRowDxfId="1622"/>
    <tableColumn id="5" xr3:uid="{00000000-0010-0000-5300-000005000000}" name="اليومية / الاجرة" dataDxfId="1638" totalsRowDxfId="1622"/>
    <tableColumn id="6" xr3:uid="{00000000-0010-0000-5300-000006000000}" name="بدل الوجبة" dataDxfId="1639" totalsRowDxfId="1622"/>
    <tableColumn id="11" xr3:uid="{00000000-0010-0000-5300-00000B000000}" name="موقع العمل" dataDxfId="1636" totalsRowDxfId="1622">
      <calculatedColumnFormula>تسعير!$AT$44</calculatedColumnFormula>
    </tableColumn>
    <tableColumn id="10" xr3:uid="{00000000-0010-0000-5300-00000A000000}" name="شيفت العمل" dataDxfId="1620" totalsRowDxfId="1622"/>
    <tableColumn id="12" xr3:uid="{00000000-0010-0000-5300-00000C000000}" name="Column12" totalsRowFunction="sum" dataDxfId="1626" totalsRowDxfId="1627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47" totalsRowDxfId="1622"/>
    <tableColumn id="7" xr3:uid="{00000000-0010-0000-5300-000007000000}" name="اجمالي التكلفة للعامل" dataDxfId="1648" totalsRowDxfId="1628">
      <calculatedColumnFormula>Table1612677697[[#This Row],[Column12]]</calculatedColumnFormula>
    </tableColumn>
    <tableColumn id="8" xr3:uid="{00000000-0010-0000-5300-000008000000}" name="اجمالي" totalsRowFunction="sum" dataDxfId="1625" totalsRowDxfId="1629">
      <calculatedColumnFormula>M123*U123</calculatedColumnFormula>
    </tableColumn>
    <tableColumn id="9" xr3:uid="{00000000-0010-0000-5300-000009000000}" name="%" totalsRowFunction="custom" totalsRowDxfId="16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61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36" totalsRowDxfId="1621"/>
    <tableColumn id="2" xr3:uid="{00000000-0010-0000-5400-000002000000}" name="عدد" dataDxfId="1641" totalsRowDxfId="1621">
      <calculatedColumnFormula>IF((Q134="الاسكندرية"),0.25,0.1)</calculatedColumnFormula>
    </tableColumn>
    <tableColumn id="3" xr3:uid="{00000000-0010-0000-5400-000003000000}" name="بيان" totalsRowLabel="Total" dataDxfId="1636" totalsRowDxfId="1621"/>
    <tableColumn id="11" xr3:uid="{00000000-0010-0000-5400-00000B000000}" name="Column2" dataDxfId="1636" totalsRowDxfId="1621"/>
    <tableColumn id="10" xr3:uid="{00000000-0010-0000-5400-00000A000000}" name="Column1" dataDxfId="1636" totalsRowDxfId="1621"/>
    <tableColumn id="12" xr3:uid="{00000000-0010-0000-5400-00000C000000}" name="Column12" totalsRowFunction="sum" dataDxfId="1652" totalsRowDxfId="1631"/>
    <tableColumn id="4" xr3:uid="{00000000-0010-0000-5400-000004000000}" name="الوحده" dataDxfId="1637" totalsRowDxfId="1621"/>
    <tableColumn id="5" xr3:uid="{00000000-0010-0000-5400-000005000000}" name="الوزن" dataDxfId="1636" totalsRowDxfId="1621"/>
    <tableColumn id="6" xr3:uid="{00000000-0010-0000-5400-000006000000}" name="سعر الكيلو" dataDxfId="1636" totalsRowDxfId="1621"/>
    <tableColumn id="7" xr3:uid="{00000000-0010-0000-5400-000007000000}" name="سعر الشبك " dataDxfId="1646" totalsRowDxfId="1632">
      <calculatedColumnFormula>F96</calculatedColumnFormula>
    </tableColumn>
    <tableColumn id="8" xr3:uid="{00000000-0010-0000-5400-000008000000}" name="اجمالي" totalsRowFunction="sum" dataDxfId="1625" totalsRowDxfId="1633">
      <calculatedColumnFormula>M118*Table1613687798[[#This Row],[سعر الشبك ]]</calculatedColumnFormula>
    </tableColumn>
    <tableColumn id="9" xr3:uid="{00000000-0010-0000-5400-000009000000}" name="%" totalsRowFunction="custom" totalsRowDxfId="163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35"/>
    <tableColumn id="2" xr3:uid="{00000000-0010-0000-5500-000002000000}" name="خارجي" dataDxfId="1635"/>
    <tableColumn id="3" xr3:uid="{00000000-0010-0000-5500-000003000000}" name="داخلي" dataDxfId="1635"/>
    <tableColumn id="4" xr3:uid="{00000000-0010-0000-5500-000004000000}" name="بدل الوجبة" dataDxfId="1635"/>
    <tableColumn id="5" xr3:uid="{00000000-0010-0000-5500-000005000000}" name="دبابة" dataDxfId="1635"/>
    <tableColumn id="6" xr3:uid="{00000000-0010-0000-5500-000006000000}" name="جامبو" dataDxfId="1635"/>
    <tableColumn id="7" xr3:uid="{00000000-0010-0000-5500-000007000000}" name="الاقامة" dataDxfId="163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36"/>
    <tableColumn id="4" xr3:uid="{00000000-0010-0000-5600-000004000000}" name="Column22" dataDxfId="1636"/>
    <tableColumn id="5" xr3:uid="{00000000-0010-0000-5600-000005000000}" name="Column23" dataDxfId="1636"/>
    <tableColumn id="3" xr3:uid="{00000000-0010-0000-5600-000003000000}" name="Column3" dataDxfId="16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20" totalsRowDxfId="1621"/>
    <tableColumn id="2" xr3:uid="{00000000-0010-0000-5700-000002000000}" name="عدد" dataDxfId="1620" totalsRowDxfId="16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20" totalsRowDxfId="1621"/>
    <tableColumn id="11" xr3:uid="{00000000-0010-0000-5700-00000B000000}" name="Column2" dataDxfId="1620" totalsRowDxfId="1621"/>
    <tableColumn id="10" xr3:uid="{00000000-0010-0000-5700-00000A000000}" name="Column1" dataDxfId="1620" totalsRowDxfId="1621"/>
    <tableColumn id="12" xr3:uid="{00000000-0010-0000-5700-00000C000000}" name="المسطح" totalsRowFunction="sum" dataDxfId="1626" totalsRowDxfId="16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20" totalsRowDxfId="1621"/>
    <tableColumn id="5" xr3:uid="{00000000-0010-0000-5700-000005000000}" name="الوزن" totalsRowFunction="custom" totalsRowDxfId="1621">
      <totalsRowFormula>(S77*M77)+(S78*M78)+(M79*S79)+(S80*M80)</totalsRowFormula>
    </tableColumn>
    <tableColumn id="6" xr3:uid="{00000000-0010-0000-5700-000006000000}" name="اجمالي المسطح" totalsRowFunction="sum" dataDxfId="1623" totalsRowDxfId="1621">
      <calculatedColumnFormula>Table15880101[[#This Row],[المسطح]]*Table15880101[[#This Row],[عدد]]</calculatedColumnFormula>
    </tableColumn>
    <tableColumn id="7" xr3:uid="{00000000-0010-0000-5700-000007000000}" name="سعر الشبك " dataDxfId="1655" totalsRowDxfId="1632">
      <calculatedColumnFormula>S77*$S$2/1000</calculatedColumnFormula>
    </tableColumn>
    <tableColumn id="8" xr3:uid="{00000000-0010-0000-5700-000008000000}" name="اجمالي" totalsRowFunction="sum" dataDxfId="1625" totalsRowDxfId="1633">
      <calculatedColumnFormula>M77*U77</calculatedColumnFormula>
    </tableColumn>
    <tableColumn id="9" xr3:uid="{00000000-0010-0000-5700-000009000000}" name="%" totalsRowFunction="custom" totalsRowDxfId="163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20" totalsRowDxfId="1622"/>
    <tableColumn id="2" xr3:uid="{00000000-0010-0000-5800-000002000000}" name="عدد" dataDxfId="1623" totalsRowDxfId="1622"/>
    <tableColumn id="3" xr3:uid="{00000000-0010-0000-5800-000003000000}" name="بيان" totalsRowLabel="Total" dataDxfId="1620" totalsRowDxfId="1622"/>
    <tableColumn id="11" xr3:uid="{00000000-0010-0000-5800-00000B000000}" name="Column2" dataDxfId="1620" totalsRowDxfId="1622"/>
    <tableColumn id="10" xr3:uid="{00000000-0010-0000-5800-00000A000000}" name="Column1" dataDxfId="1620" totalsRowDxfId="1622"/>
    <tableColumn id="12" xr3:uid="{00000000-0010-0000-5800-00000C000000}" name="Column12" dataDxfId="1620" totalsRowDxfId="1622"/>
    <tableColumn id="4" xr3:uid="{00000000-0010-0000-5800-000004000000}" name="الوحده" totalsRowLabel="total" dataDxfId="1620" totalsRowDxfId="1622"/>
    <tableColumn id="5" xr3:uid="{00000000-0010-0000-5800-000005000000}" name="الوزن" dataDxfId="1620" totalsRowDxfId="1622"/>
    <tableColumn id="6" xr3:uid="{00000000-0010-0000-5800-000006000000}" name="سعر الكيلو" dataDxfId="1620" totalsRowDxfId="1622"/>
    <tableColumn id="7" xr3:uid="{00000000-0010-0000-5800-000007000000}" name="سعر الشبك " dataDxfId="1624" totalsRowDxfId="1628">
      <calculatedColumnFormula>Sheet2!AW6</calculatedColumnFormula>
    </tableColumn>
    <tableColumn id="8" xr3:uid="{00000000-0010-0000-5800-000008000000}" name="اجمالي" totalsRowFunction="sum" dataDxfId="1625" totalsRowDxfId="1629">
      <calculatedColumnFormula>BH28*BP28</calculatedColumnFormula>
    </tableColumn>
    <tableColumn id="9" xr3:uid="{00000000-0010-0000-5800-000009000000}" name="%" totalsRowFunction="custom" totalsRowDxfId="16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20" totalsRowDxfId="1621"/>
    <tableColumn id="2" xr3:uid="{00000000-0010-0000-5900-000002000000}" name="عدد" dataDxfId="1623" totalsRowDxfId="1621"/>
    <tableColumn id="3" xr3:uid="{00000000-0010-0000-5900-000003000000}" name="بيان" totalsRowLabel="Total" dataDxfId="1620" totalsRowDxfId="1621"/>
    <tableColumn id="11" xr3:uid="{00000000-0010-0000-5900-00000B000000}" name="Column2" dataDxfId="1620" totalsRowDxfId="1621"/>
    <tableColumn id="10" xr3:uid="{00000000-0010-0000-5900-00000A000000}" name="Column1" dataDxfId="1620" totalsRowDxfId="1621"/>
    <tableColumn id="12" xr3:uid="{00000000-0010-0000-5900-00000C000000}" name="Column12" dataDxfId="1626" totalsRowDxfId="1631"/>
    <tableColumn id="4" xr3:uid="{00000000-0010-0000-5900-000004000000}" name="الوحده" dataDxfId="1620" totalsRowDxfId="1621"/>
    <tableColumn id="5" xr3:uid="{00000000-0010-0000-5900-000005000000}" name="الوزن" dataDxfId="1620" totalsRowDxfId="1621"/>
    <tableColumn id="6" xr3:uid="{00000000-0010-0000-5900-000006000000}" name="سعر الكيلو" dataDxfId="1620" totalsRowDxfId="1621"/>
    <tableColumn id="7" xr3:uid="{00000000-0010-0000-5900-000007000000}" name="سعر الشبك " dataDxfId="1624" totalsRowDxfId="1632">
      <calculatedColumnFormula>Sheet2!AW26</calculatedColumnFormula>
    </tableColumn>
    <tableColumn id="8" xr3:uid="{00000000-0010-0000-5900-000008000000}" name="اجمالي" totalsRowFunction="sum" dataDxfId="1625" totalsRowDxfId="1633">
      <calculatedColumnFormula>BH14*BP14</calculatedColumnFormula>
    </tableColumn>
    <tableColumn id="9" xr3:uid="{00000000-0010-0000-5900-000009000000}" name="%" totalsRowFunction="custom" totalsRowDxfId="163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20"/>
    <tableColumn id="2" xr3:uid="{00000000-0010-0000-5A00-000002000000}" name="عدد" totalsRowFunction="count" dataDxfId="1620">
      <calculatedColumnFormula>BH20*4</calculatedColumnFormula>
    </tableColumn>
    <tableColumn id="3" xr3:uid="{00000000-0010-0000-5A00-000003000000}" name="بيان" totalsRowLabel="Total" dataDxfId="1620"/>
    <tableColumn id="11" xr3:uid="{00000000-0010-0000-5A00-00000B000000}" name="Column2" dataDxfId="1620"/>
    <tableColumn id="10" xr3:uid="{00000000-0010-0000-5A00-00000A000000}" name="Column1" dataDxfId="1620"/>
    <tableColumn id="12" xr3:uid="{00000000-0010-0000-5A00-00000C000000}" name="Column12" totalsRowFunction="sum" dataDxfId="1626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23"/>
    <tableColumn id="7" xr3:uid="{00000000-0010-0000-5A00-000007000000}" name="سعر الشبك " dataDxfId="1624">
      <calculatedColumnFormula>BN22*$S$2/1000</calculatedColumnFormula>
    </tableColumn>
    <tableColumn id="8" xr3:uid="{00000000-0010-0000-5A00-000008000000}" name="اجمالي" totalsRowFunction="sum" dataDxfId="16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35"/>
    <tableColumn id="2" xr3:uid="{00000000-0010-0000-5B00-000002000000}" name="المعدل" dataDxfId="1635"/>
    <tableColumn id="3" xr3:uid="{00000000-0010-0000-5B00-000003000000}" name="الوحدة" dataDxfId="1635"/>
    <tableColumn id="4" xr3:uid="{00000000-0010-0000-5B00-000004000000}" name="Column4" dataDxfId="1642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35"/>
    <tableColumn id="2" xr3:uid="{00000000-0010-0000-5C00-000002000000}" name="Column2" dataDxfId="1642"/>
    <tableColumn id="3" xr3:uid="{00000000-0010-0000-5C00-000003000000}" name="Column3" dataDxfId="1635"/>
    <tableColumn id="4" xr3:uid="{00000000-0010-0000-5C00-000004000000}" name="Column4" dataDxfId="1635"/>
    <tableColumn id="5" xr3:uid="{00000000-0010-0000-5C00-000005000000}" name="Column5" dataDxfId="163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20" totalsRowDxfId="1622"/>
    <tableColumn id="2" xr3:uid="{00000000-0010-0000-5D00-000002000000}" name="عدد" dataDxfId="1641" totalsRowDxfId="1622">
      <calculatedColumnFormula>IF((تسعير!$AU$14="بالتات"),0,BH48-2)</calculatedColumnFormula>
    </tableColumn>
    <tableColumn id="3" xr3:uid="{00000000-0010-0000-5D00-000003000000}" name="بيان" totalsRowLabel="Total" dataDxfId="1638" totalsRowDxfId="1622"/>
    <tableColumn id="5" xr3:uid="{00000000-0010-0000-5D00-000005000000}" name="اليومية / الاجرة" dataDxfId="1638" totalsRowDxfId="1622"/>
    <tableColumn id="6" xr3:uid="{00000000-0010-0000-5D00-000006000000}" name="بدل الوجبة" dataDxfId="1639" totalsRowDxfId="1622"/>
    <tableColumn id="11" xr3:uid="{00000000-0010-0000-5D00-00000B000000}" name="موقع العمل" dataDxfId="1636" totalsRowDxfId="1622">
      <calculatedColumnFormula>تسعير!$AT$44</calculatedColumnFormula>
    </tableColumn>
    <tableColumn id="10" xr3:uid="{00000000-0010-0000-5D00-00000A000000}" name="شيفت العمل" dataDxfId="1620" totalsRowDxfId="1622"/>
    <tableColumn id="12" xr3:uid="{00000000-0010-0000-5D00-00000C000000}" name="Column12" totalsRowFunction="sum" dataDxfId="1626" totalsRowDxfId="1627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47" totalsRowDxfId="1622"/>
    <tableColumn id="7" xr3:uid="{00000000-0010-0000-5D00-000007000000}" name="اجمالي التكلفة للعامل" dataDxfId="1648" totalsRowDxfId="1628">
      <calculatedColumnFormula>Table1612677686[[#This Row],[Column12]]</calculatedColumnFormula>
    </tableColumn>
    <tableColumn id="8" xr3:uid="{00000000-0010-0000-5D00-000008000000}" name="اجمالي" totalsRowFunction="sum" dataDxfId="1625" totalsRowDxfId="1629">
      <calculatedColumnFormula>BH51*BP51</calculatedColumnFormula>
    </tableColumn>
    <tableColumn id="9" xr3:uid="{00000000-0010-0000-5D00-000009000000}" name="%" totalsRowFunction="custom" totalsRowDxfId="163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opLeftCell="A2" zoomScale="130" zoomScaleNormal="130" zoomScaleSheetLayoutView="70" workbookViewId="0">
      <selection activeCell="B15" sqref="B15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815" t="s">
        <v>611</v>
      </c>
      <c r="H1" s="815"/>
      <c r="I1" s="815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21997.5</v>
      </c>
      <c r="J3" s="504"/>
    </row>
    <row r="4" ht="21">
      <c r="A4" s="498"/>
      <c r="B4" s="499"/>
      <c r="C4" s="499"/>
      <c r="D4" s="500"/>
      <c r="E4" s="491"/>
      <c r="F4" s="495"/>
      <c r="G4" s="816" t="s">
        <v>618</v>
      </c>
      <c r="H4" s="816"/>
      <c r="I4" s="816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60146.25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17" t="s">
        <v>619</v>
      </c>
      <c r="B10" s="817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55000</v>
      </c>
    </row>
    <row r="13">
      <c r="A13" s="233" t="s">
        <v>621</v>
      </c>
      <c r="B13" s="233">
        <v>65000</v>
      </c>
    </row>
    <row r="14">
      <c r="A14" s="233" t="s">
        <v>238</v>
      </c>
      <c r="B14" s="233">
        <v>310000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200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26" t="s">
        <v>336</v>
      </c>
      <c r="K1" s="926"/>
      <c r="L1" s="926"/>
      <c r="M1" s="926"/>
      <c r="N1" s="926"/>
      <c r="O1" s="926"/>
      <c r="P1" s="926"/>
      <c r="Q1" s="926"/>
      <c r="R1" s="926"/>
      <c r="S1" s="926"/>
    </row>
    <row r="2" ht="18" customHeight="1">
      <c r="A2" s="11" t="s">
        <v>337</v>
      </c>
      <c r="B2" s="919">
        <f>Royal!C3</f>
        <v>0</v>
      </c>
      <c r="C2" s="920"/>
      <c r="D2" s="920"/>
      <c r="E2" s="920"/>
      <c r="F2" s="921"/>
      <c r="G2" s="1">
        <v>1</v>
      </c>
      <c r="J2" s="926"/>
      <c r="K2" s="926"/>
      <c r="L2" s="926"/>
      <c r="M2" s="926"/>
      <c r="N2" s="926"/>
      <c r="O2" s="926"/>
      <c r="P2" s="926"/>
      <c r="Q2" s="926"/>
      <c r="R2" s="926"/>
      <c r="S2" s="926"/>
    </row>
    <row r="3" ht="18" customHeight="1">
      <c r="A3" s="11" t="s">
        <v>338</v>
      </c>
      <c r="F3" s="918" t="s">
        <v>339</v>
      </c>
      <c r="G3" s="918"/>
    </row>
    <row r="4" ht="18" customHeight="1">
      <c r="A4" s="11" t="s">
        <v>340</v>
      </c>
      <c r="F4" s="922" t="s">
        <v>341</v>
      </c>
      <c r="G4" s="923"/>
      <c r="H4" s="923"/>
      <c r="I4" s="924"/>
      <c r="J4" s="10"/>
    </row>
    <row r="5" ht="18" customHeight="1">
      <c r="A5" s="11" t="s">
        <v>342</v>
      </c>
      <c r="F5" s="925" t="s">
        <v>343</v>
      </c>
      <c r="G5" s="916"/>
      <c r="H5" s="916"/>
      <c r="I5" s="917"/>
      <c r="J5" s="10"/>
    </row>
    <row r="6" ht="18" customHeight="1">
      <c r="A6" s="11" t="s">
        <v>344</v>
      </c>
      <c r="Q6" s="910"/>
      <c r="R6" s="910"/>
      <c r="S6" s="91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05" t="s">
        <v>348</v>
      </c>
      <c r="C11" s="906"/>
      <c r="D11" s="916" t="s">
        <v>349</v>
      </c>
      <c r="E11" s="917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0"/>
      <c r="R15" s="910"/>
      <c r="S15" s="910"/>
    </row>
    <row r="16" ht="18" customHeight="1">
      <c r="C16" s="918" t="s">
        <v>353</v>
      </c>
      <c r="D16" s="918"/>
      <c r="E16" s="918"/>
      <c r="F16" s="1" t="s">
        <v>354</v>
      </c>
    </row>
    <row r="17" ht="18" customHeight="1">
      <c r="A17" s="918" t="s">
        <v>355</v>
      </c>
      <c r="B17" s="918"/>
      <c r="C17" s="918"/>
    </row>
    <row r="18" ht="18" customHeight="1">
      <c r="A18" s="907" t="s">
        <v>356</v>
      </c>
      <c r="B18" s="908"/>
      <c r="C18" s="14">
        <f>'Format Φωτισμου'!B9</f>
        <v>3</v>
      </c>
    </row>
    <row r="19" ht="18" customHeight="1">
      <c r="A19" s="907" t="s">
        <v>357</v>
      </c>
      <c r="B19" s="908"/>
      <c r="C19" s="14">
        <f>'Format Φωτισμου'!B12</f>
        <v>9</v>
      </c>
    </row>
    <row r="20" ht="18" customHeight="1">
      <c r="A20" s="907" t="s">
        <v>358</v>
      </c>
      <c r="B20" s="908"/>
      <c r="C20" s="14">
        <f>C19/C18</f>
        <v>3</v>
      </c>
    </row>
    <row r="21" ht="18" customHeight="1">
      <c r="A21" s="912" t="s">
        <v>359</v>
      </c>
      <c r="B21" s="913"/>
      <c r="C21" s="914">
        <v>20</v>
      </c>
      <c r="D21" s="915"/>
      <c r="E21" s="905" t="s">
        <v>360</v>
      </c>
      <c r="F21" s="906"/>
      <c r="G21" s="906"/>
      <c r="H21" s="14">
        <f>C21/C18</f>
        <v>6.666666666666667</v>
      </c>
      <c r="J21" s="911"/>
      <c r="K21" s="911"/>
      <c r="L21" s="911"/>
      <c r="M21" s="911"/>
      <c r="N21" s="911"/>
      <c r="O21" s="911"/>
      <c r="P21" s="911"/>
      <c r="Q21" s="911"/>
      <c r="R21" s="911"/>
      <c r="S21" s="911"/>
    </row>
    <row r="22" ht="18" customHeight="1">
      <c r="A22" s="907" t="s">
        <v>361</v>
      </c>
      <c r="B22" s="908"/>
      <c r="C22" s="179">
        <v>50</v>
      </c>
      <c r="D22" s="184" t="s">
        <v>362</v>
      </c>
      <c r="J22" s="911"/>
      <c r="K22" s="911"/>
      <c r="L22" s="911"/>
      <c r="M22" s="911"/>
      <c r="N22" s="911"/>
      <c r="O22" s="911"/>
      <c r="P22" s="911"/>
      <c r="Q22" s="911"/>
      <c r="R22" s="911"/>
      <c r="S22" s="911"/>
    </row>
    <row r="23" ht="18" customHeight="1">
      <c r="J23" s="911"/>
      <c r="K23" s="911"/>
      <c r="L23" s="911"/>
      <c r="M23" s="911"/>
      <c r="N23" s="911"/>
      <c r="O23" s="911"/>
      <c r="P23" s="911"/>
      <c r="Q23" s="911"/>
      <c r="R23" s="911"/>
      <c r="S23" s="911"/>
    </row>
    <row r="24" ht="18" customHeight="1"/>
    <row r="25" ht="18" customHeight="1">
      <c r="A25" s="11" t="s">
        <v>363</v>
      </c>
      <c r="J25" s="909"/>
      <c r="K25" s="909"/>
      <c r="L25" s="909"/>
      <c r="M25" s="909"/>
      <c r="N25" s="909"/>
      <c r="O25" s="909"/>
      <c r="P25" s="909"/>
      <c r="Q25" s="909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10"/>
      <c r="K27" s="910"/>
      <c r="L27" s="910"/>
      <c r="M27" s="910"/>
      <c r="N27" s="910"/>
      <c r="O27" s="910"/>
      <c r="P27" s="910"/>
      <c r="Q27" s="910"/>
      <c r="R27" s="910"/>
      <c r="S27" s="910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1005" t="s">
        <v>368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7"/>
      <c r="O1" s="87"/>
      <c r="P1" s="88"/>
      <c r="Q1" s="88"/>
      <c r="R1" s="88"/>
      <c r="W1" s="136">
        <f>IF(تسعير!T6="سادة",Royal!J2+20000,IF(تسعير!T6="خشبي",Royal!J2+40000,0))</f>
        <v>330000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20" t="s">
        <v>337</v>
      </c>
      <c r="B3" s="1020"/>
      <c r="C3" s="1020"/>
      <c r="D3" s="1022">
        <f>تسجيل1!B2</f>
        <v>0</v>
      </c>
      <c r="E3" s="1022"/>
      <c r="F3" s="1022"/>
      <c r="G3" s="1022"/>
      <c r="H3" s="1022"/>
      <c r="I3" s="1022"/>
      <c r="J3" s="1022"/>
      <c r="K3" s="1022"/>
      <c r="L3" s="1022"/>
      <c r="M3" s="1008" t="s">
        <v>371</v>
      </c>
      <c r="N3" s="1008"/>
      <c r="O3" s="89"/>
      <c r="P3" s="90"/>
      <c r="Q3" s="90"/>
      <c r="R3" s="90"/>
      <c r="Z3" s="151"/>
      <c r="AA3" s="60"/>
      <c r="AB3" s="60"/>
    </row>
    <row r="4" ht="13.5" customHeight="1">
      <c r="A4" s="1021"/>
      <c r="B4" s="1021"/>
      <c r="C4" s="1021"/>
      <c r="D4" s="1023"/>
      <c r="E4" s="1023"/>
      <c r="F4" s="1023"/>
      <c r="G4" s="1022"/>
      <c r="H4" s="1022"/>
      <c r="I4" s="1023"/>
      <c r="J4" s="1023"/>
      <c r="K4" s="1023"/>
      <c r="L4" s="1023"/>
      <c r="M4" s="1009"/>
      <c r="N4" s="1009"/>
      <c r="O4" s="91"/>
      <c r="P4" s="92"/>
      <c r="Q4" s="92"/>
      <c r="R4" s="92"/>
      <c r="Z4" s="151"/>
      <c r="AA4" s="60"/>
      <c r="AB4" s="60"/>
    </row>
    <row r="5" ht="13.5" customHeight="1">
      <c r="A5" s="1010" t="e">
        <f>Y1</f>
        <v>#REF!</v>
      </c>
      <c r="B5" s="1011"/>
      <c r="C5" s="1012"/>
      <c r="D5" s="1013" t="s">
        <v>370</v>
      </c>
      <c r="E5" s="1014"/>
      <c r="F5" s="1015"/>
      <c r="G5" s="63"/>
      <c r="H5" s="63"/>
      <c r="I5" s="1010">
        <f>W1</f>
        <v>330000</v>
      </c>
      <c r="J5" s="1011"/>
      <c r="K5" s="1012"/>
      <c r="L5" s="1013" t="s">
        <v>372</v>
      </c>
      <c r="M5" s="1014"/>
      <c r="N5" s="1015"/>
      <c r="O5" s="93"/>
      <c r="P5" s="92"/>
      <c r="Q5" s="92"/>
      <c r="R5" s="92"/>
      <c r="Z5" s="151"/>
      <c r="AA5" s="60"/>
      <c r="AB5" s="60"/>
    </row>
    <row r="6" ht="16.5" customHeight="1">
      <c r="A6" s="952" t="s">
        <v>373</v>
      </c>
      <c r="B6" s="953"/>
      <c r="C6" s="954"/>
      <c r="D6" s="946" t="s">
        <v>374</v>
      </c>
      <c r="E6" s="1016" t="s">
        <v>344</v>
      </c>
      <c r="F6" s="1017"/>
      <c r="G6" s="989"/>
      <c r="H6" s="989"/>
      <c r="I6" s="1017"/>
      <c r="J6" s="1018"/>
      <c r="K6" s="1019">
        <f>تسجيل1!C7</f>
        <v>400</v>
      </c>
      <c r="L6" s="1019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52"/>
      <c r="B7" s="953"/>
      <c r="C7" s="954"/>
      <c r="D7" s="946"/>
      <c r="E7" s="988" t="s">
        <v>376</v>
      </c>
      <c r="F7" s="989"/>
      <c r="G7" s="989"/>
      <c r="H7" s="989"/>
      <c r="I7" s="989"/>
      <c r="J7" s="990"/>
      <c r="K7" s="991">
        <f>K6*N6/10000</f>
        <v>16</v>
      </c>
      <c r="L7" s="991"/>
      <c r="M7" s="991"/>
      <c r="N7" s="98" t="s">
        <v>377</v>
      </c>
      <c r="O7" s="99">
        <f>AA41/K7</f>
        <v>3091.1291540598522</v>
      </c>
      <c r="S7" s="60" t="s">
        <v>127</v>
      </c>
      <c r="T7" s="61" t="s">
        <v>378</v>
      </c>
      <c r="Z7" s="151"/>
      <c r="AA7" s="60"/>
      <c r="AB7" s="60"/>
    </row>
    <row r="8">
      <c r="A8" s="955"/>
      <c r="B8" s="956"/>
      <c r="C8" s="957"/>
      <c r="D8" s="947"/>
      <c r="E8" s="992" t="s">
        <v>379</v>
      </c>
      <c r="F8" s="993"/>
      <c r="G8" s="993"/>
      <c r="H8" s="993"/>
      <c r="I8" s="993"/>
      <c r="J8" s="994"/>
      <c r="K8" s="995">
        <f>K6-1</f>
        <v>399</v>
      </c>
      <c r="L8" s="995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49458.066464957636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96" t="s">
        <v>381</v>
      </c>
      <c r="B10" s="996"/>
      <c r="C10" s="996"/>
      <c r="D10" s="996"/>
      <c r="E10" s="996"/>
      <c r="F10" s="996"/>
      <c r="G10" s="997" t="s">
        <v>324</v>
      </c>
      <c r="H10" s="997"/>
      <c r="I10" s="997" t="s">
        <v>382</v>
      </c>
      <c r="J10" s="997"/>
      <c r="K10" s="104"/>
      <c r="L10" s="998" t="s">
        <v>366</v>
      </c>
      <c r="M10" s="998"/>
      <c r="N10" s="998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99" t="s">
        <v>389</v>
      </c>
      <c r="B11" s="1000"/>
      <c r="C11" s="1000"/>
      <c r="D11" s="1000"/>
      <c r="E11" s="1000"/>
      <c r="F11" s="1001"/>
      <c r="G11" s="1002">
        <f>L11</f>
        <v>2</v>
      </c>
      <c r="H11" s="1002"/>
      <c r="I11" s="1003">
        <f>'Format διαστασης οδηγου'!F8</f>
        <v>365</v>
      </c>
      <c r="J11" s="1003"/>
      <c r="K11" s="106"/>
      <c r="L11" s="1004">
        <f>IF(تسعير!T10=Sheet2!A3,2,IF(Format!A7=1,تسجيل1!H27,IF(Format!A7=2,تسجيل1!H27,IF(Format!A7=3,تسجيل1!H27,IF(Format!A7=4,تسجيل1!H27,IF(Format!A7=5,تسجيل1!H27,"-------"))))))</f>
        <v>2</v>
      </c>
      <c r="M11" s="1004"/>
      <c r="N11" s="100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11029.285714285725</v>
      </c>
      <c r="Z11" s="151"/>
      <c r="AA11" s="60"/>
      <c r="AB11" s="60"/>
    </row>
    <row r="12" ht="20.1" customHeight="1">
      <c r="A12" s="976" t="s">
        <v>390</v>
      </c>
      <c r="B12" s="976"/>
      <c r="C12" s="976"/>
      <c r="D12" s="976"/>
      <c r="E12" s="976"/>
      <c r="F12" s="976"/>
      <c r="G12" s="977">
        <f>IF(L11&gt;2,4,IF(L11=2,2))</f>
        <v>2</v>
      </c>
      <c r="H12" s="977"/>
      <c r="I12" s="97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7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4920.3986710963391</v>
      </c>
      <c r="Z12" s="151"/>
      <c r="AA12" s="60"/>
      <c r="AB12" s="60"/>
    </row>
    <row r="13" ht="20.1" customHeight="1">
      <c r="A13" s="976" t="s">
        <v>391</v>
      </c>
      <c r="B13" s="976"/>
      <c r="C13" s="976"/>
      <c r="D13" s="976"/>
      <c r="E13" s="976"/>
      <c r="F13" s="976"/>
      <c r="G13" s="977" t="str">
        <f>IF(L11&lt;=3,"0",(L11-3)*2)</f>
        <v>0</v>
      </c>
      <c r="H13" s="977"/>
      <c r="I13" s="978">
        <f>IF(G13="-------","-------",L17-5)</f>
        <v>386</v>
      </c>
      <c r="J13" s="978"/>
      <c r="K13" s="106"/>
      <c r="L13" s="987" t="s">
        <v>392</v>
      </c>
      <c r="M13" s="987"/>
      <c r="N13" s="98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76" t="s">
        <v>393</v>
      </c>
      <c r="B14" s="976"/>
      <c r="C14" s="976"/>
      <c r="D14" s="976"/>
      <c r="E14" s="976"/>
      <c r="F14" s="976"/>
      <c r="G14" s="977">
        <f>IF(L11&gt;2,2*L14,IF(L11=2,L14))</f>
        <v>5</v>
      </c>
      <c r="H14" s="977"/>
      <c r="I14" s="978">
        <f>I12</f>
        <v>399</v>
      </c>
      <c r="J14" s="978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6941.3793103447988</v>
      </c>
      <c r="Z14" s="151"/>
      <c r="AA14" s="60"/>
      <c r="AB14" s="60"/>
    </row>
    <row r="15" ht="20.1" customHeight="1">
      <c r="A15" s="976" t="s">
        <v>395</v>
      </c>
      <c r="B15" s="976"/>
      <c r="C15" s="976"/>
      <c r="D15" s="976"/>
      <c r="E15" s="976"/>
      <c r="F15" s="976"/>
      <c r="G15" s="977" t="str">
        <f>IF(L11&lt;=3,"0",(L11-3)*L14)</f>
        <v>0</v>
      </c>
      <c r="H15" s="977"/>
      <c r="I15" s="978">
        <f>IF(G15="-------","---------",I13)</f>
        <v>386</v>
      </c>
      <c r="J15" s="97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76" t="s">
        <v>396</v>
      </c>
      <c r="B16" s="976"/>
      <c r="C16" s="976"/>
      <c r="D16" s="976"/>
      <c r="E16" s="976"/>
      <c r="F16" s="976"/>
      <c r="G16" s="977">
        <v>1</v>
      </c>
      <c r="H16" s="977"/>
      <c r="I16" s="97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78"/>
      <c r="K16" s="106"/>
      <c r="L16" s="971" t="s">
        <v>397</v>
      </c>
      <c r="M16" s="971"/>
      <c r="N16" s="97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1841.2307692307759</v>
      </c>
      <c r="Z16" s="151"/>
      <c r="AA16" s="60"/>
      <c r="AB16" s="60"/>
    </row>
    <row r="17" ht="20.1" customHeight="1">
      <c r="A17" s="976" t="s">
        <v>398</v>
      </c>
      <c r="B17" s="976"/>
      <c r="C17" s="976"/>
      <c r="D17" s="976"/>
      <c r="E17" s="976"/>
      <c r="F17" s="976"/>
      <c r="G17" s="977" t="str">
        <f>IF(L11=2,"0",1)</f>
        <v>0</v>
      </c>
      <c r="H17" s="977"/>
      <c r="I17" s="978">
        <f>IF(G17="-------","-------",IF(Format!A7=1,(L17+3),IF(Format!A7=2,(L17+3.5),IF(Format!A7=3,(L17+3),IF(Format!A7=4,(L17+4.25),IF(Format!A7=5,(L17+5),"--------"))))))</f>
        <v>394.5</v>
      </c>
      <c r="J17" s="978"/>
      <c r="K17" s="106"/>
      <c r="L17" s="986">
        <f>IF(Format!A7=1,(K6-2-6)/(L11-1),IF(Format!A7=2,(K6-2-7)/(L11-1),IF(Format!A7=3,(K6-2-6)/(L11-1),IF(Format!A7=4,(K6-2-8.5)/(L11-1),IF(Format!A7=5,(K6-2-10)/(L11-1),"--------")))))</f>
        <v>391</v>
      </c>
      <c r="M17" s="986"/>
      <c r="N17" s="98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76" t="s">
        <v>399</v>
      </c>
      <c r="B18" s="976"/>
      <c r="C18" s="976"/>
      <c r="D18" s="976"/>
      <c r="E18" s="976"/>
      <c r="F18" s="976"/>
      <c r="G18" s="977" t="str">
        <f>IF(L11&lt;=3,"0",(L11-3))</f>
        <v>0</v>
      </c>
      <c r="H18" s="977"/>
      <c r="I18" s="978">
        <f>IF(G18="-------","-------",L17)</f>
        <v>391</v>
      </c>
      <c r="J18" s="97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76" t="str">
        <f>IF(Format!H4=1,"Balloon","-------")</f>
        <v>-------</v>
      </c>
      <c r="B19" s="976"/>
      <c r="C19" s="976"/>
      <c r="D19" s="976"/>
      <c r="E19" s="976"/>
      <c r="F19" s="976"/>
      <c r="G19" s="977" t="str">
        <f>IF([1]Format!H4=1,'[1]تقطيع البرجولة'!L14,"0")</f>
        <v>0</v>
      </c>
      <c r="H19" s="977"/>
      <c r="I19" s="978">
        <f>IF(G19="-------","-------",K6-2.5)</f>
        <v>397.5</v>
      </c>
      <c r="J19" s="978"/>
      <c r="K19" s="106"/>
      <c r="L19" s="979" t="s">
        <v>347</v>
      </c>
      <c r="M19" s="980"/>
      <c r="N19" s="98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82" t="s">
        <v>400</v>
      </c>
      <c r="B20" s="983"/>
      <c r="C20" s="983"/>
      <c r="D20" s="983"/>
      <c r="E20" s="983"/>
      <c r="F20" s="984"/>
      <c r="G20" s="982">
        <f>IF(تسعير!T10=Sheet2!A3,0,(G12+G13)/2)</f>
        <v>1</v>
      </c>
      <c r="H20" s="983"/>
      <c r="I20" s="978">
        <f>L17-7</f>
        <v>384</v>
      </c>
      <c r="J20" s="978"/>
      <c r="K20" s="106"/>
      <c r="L20" s="114" t="s">
        <v>324</v>
      </c>
      <c r="M20" s="985" t="s">
        <v>401</v>
      </c>
      <c r="N20" s="98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2178</v>
      </c>
      <c r="Z20" s="151"/>
      <c r="AA20" s="60"/>
      <c r="AB20" s="60"/>
    </row>
    <row r="21" ht="20.1" customHeight="1">
      <c r="A21" s="968" t="s">
        <v>402</v>
      </c>
      <c r="B21" s="968"/>
      <c r="C21" s="968"/>
      <c r="D21" s="968"/>
      <c r="E21" s="968"/>
      <c r="F21" s="968"/>
      <c r="G21" s="969">
        <f>L11</f>
        <v>2</v>
      </c>
      <c r="H21" s="969"/>
      <c r="I21" s="970">
        <f>(I11*2)+45</f>
        <v>775</v>
      </c>
      <c r="J21" s="970"/>
      <c r="K21" s="106"/>
      <c r="L21" s="112">
        <f>IF(Format!E7=1,"-------",IF(Format!E7=5,"-------",تسجيل1!H30))</f>
        <v>2</v>
      </c>
      <c r="M21" s="971" t="str">
        <f>IF(L21="-------","-------",تسجيل1!D11)</f>
        <v>4Χ220- 1Χ250</v>
      </c>
      <c r="N21" s="97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27444.794464957642</v>
      </c>
      <c r="Z22" s="151"/>
      <c r="AA22" s="60"/>
      <c r="AB22" s="60"/>
    </row>
    <row r="23" ht="20.1" customHeight="1">
      <c r="A23" s="972" t="s">
        <v>403</v>
      </c>
      <c r="B23" s="973"/>
      <c r="C23" s="973"/>
      <c r="D23" s="973"/>
      <c r="E23" s="974"/>
      <c r="F23" s="67" t="s">
        <v>404</v>
      </c>
      <c r="G23" s="68"/>
      <c r="H23" s="972" t="s">
        <v>405</v>
      </c>
      <c r="I23" s="973"/>
      <c r="J23" s="973"/>
      <c r="K23" s="973"/>
      <c r="L23" s="974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5" t="s">
        <v>410</v>
      </c>
      <c r="C24" s="975"/>
      <c r="D24" s="975"/>
      <c r="E24" s="975"/>
      <c r="F24" s="70">
        <f>L11</f>
        <v>2</v>
      </c>
      <c r="G24" s="71"/>
      <c r="H24" s="69">
        <v>16</v>
      </c>
      <c r="I24" s="975" t="s">
        <v>352</v>
      </c>
      <c r="J24" s="975"/>
      <c r="K24" s="975"/>
      <c r="L24" s="975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61" t="s">
        <v>411</v>
      </c>
      <c r="C25" s="961"/>
      <c r="D25" s="961"/>
      <c r="E25" s="961"/>
      <c r="F25" s="73">
        <f>L11</f>
        <v>2</v>
      </c>
      <c r="G25" s="71"/>
      <c r="H25" s="72">
        <v>17</v>
      </c>
      <c r="I25" s="961" t="s">
        <v>412</v>
      </c>
      <c r="J25" s="961"/>
      <c r="K25" s="961"/>
      <c r="L25" s="96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61" t="s">
        <v>413</v>
      </c>
      <c r="C26" s="961"/>
      <c r="D26" s="961"/>
      <c r="E26" s="961"/>
      <c r="F26" s="73">
        <f>M24</f>
        <v>1</v>
      </c>
      <c r="G26" s="71"/>
      <c r="H26" s="72">
        <v>18</v>
      </c>
      <c r="I26" s="961" t="s">
        <v>414</v>
      </c>
      <c r="J26" s="961"/>
      <c r="K26" s="961"/>
      <c r="L26" s="96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58" t="s">
        <v>415</v>
      </c>
      <c r="C27" s="959"/>
      <c r="D27" s="959"/>
      <c r="E27" s="960"/>
      <c r="F27" s="73">
        <v>4</v>
      </c>
      <c r="G27" s="71"/>
      <c r="H27" s="72">
        <v>19</v>
      </c>
      <c r="I27" s="961" t="s">
        <v>416</v>
      </c>
      <c r="J27" s="961"/>
      <c r="K27" s="961"/>
      <c r="L27" s="96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58" t="s">
        <v>417</v>
      </c>
      <c r="C28" s="959"/>
      <c r="D28" s="959"/>
      <c r="E28" s="960"/>
      <c r="F28" s="73">
        <f>L14</f>
        <v>5</v>
      </c>
      <c r="G28" s="71"/>
      <c r="H28" s="72">
        <v>20</v>
      </c>
      <c r="I28" s="961" t="s">
        <v>418</v>
      </c>
      <c r="J28" s="961"/>
      <c r="K28" s="961"/>
      <c r="L28" s="96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58" t="s">
        <v>419</v>
      </c>
      <c r="C29" s="959"/>
      <c r="D29" s="959"/>
      <c r="E29" s="960"/>
      <c r="F29" s="73">
        <f>L11*2</f>
        <v>4</v>
      </c>
      <c r="G29" s="71"/>
      <c r="H29" s="72">
        <v>21</v>
      </c>
      <c r="I29" s="961" t="s">
        <v>420</v>
      </c>
      <c r="J29" s="961"/>
      <c r="K29" s="961"/>
      <c r="L29" s="96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58" t="s">
        <v>421</v>
      </c>
      <c r="C30" s="959"/>
      <c r="D30" s="959"/>
      <c r="E30" s="960"/>
      <c r="F30" s="73">
        <f>L14*L11</f>
        <v>10</v>
      </c>
      <c r="G30" s="71"/>
      <c r="H30" s="72">
        <v>22</v>
      </c>
      <c r="I30" s="961" t="s">
        <v>422</v>
      </c>
      <c r="J30" s="961"/>
      <c r="K30" s="961"/>
      <c r="L30" s="96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58" t="s">
        <v>423</v>
      </c>
      <c r="C31" s="959"/>
      <c r="D31" s="959"/>
      <c r="E31" s="960"/>
      <c r="F31" s="73">
        <f>(L14+N14)*2</f>
        <v>14</v>
      </c>
      <c r="G31" s="71"/>
      <c r="H31" s="72">
        <v>23</v>
      </c>
      <c r="I31" s="961" t="s">
        <v>424</v>
      </c>
      <c r="J31" s="961"/>
      <c r="K31" s="961"/>
      <c r="L31" s="96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58" t="s">
        <v>425</v>
      </c>
      <c r="C32" s="959"/>
      <c r="D32" s="959"/>
      <c r="E32" s="960"/>
      <c r="F32" s="73">
        <f>(L14+N14)*2</f>
        <v>14</v>
      </c>
      <c r="G32" s="71"/>
      <c r="H32" s="72">
        <v>24</v>
      </c>
      <c r="I32" s="961" t="s">
        <v>426</v>
      </c>
      <c r="J32" s="961"/>
      <c r="K32" s="961"/>
      <c r="L32" s="96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58" t="s">
        <v>427</v>
      </c>
      <c r="C33" s="959"/>
      <c r="D33" s="959"/>
      <c r="E33" s="960"/>
      <c r="F33" s="73">
        <f>L11*3</f>
        <v>6</v>
      </c>
      <c r="G33" s="71"/>
      <c r="H33" s="72">
        <v>25</v>
      </c>
      <c r="I33" s="961" t="s">
        <v>428</v>
      </c>
      <c r="J33" s="961"/>
      <c r="K33" s="961"/>
      <c r="L33" s="96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58" t="s">
        <v>429</v>
      </c>
      <c r="C34" s="959"/>
      <c r="D34" s="959"/>
      <c r="E34" s="960"/>
      <c r="F34" s="73">
        <f>L11*3</f>
        <v>6</v>
      </c>
      <c r="G34" s="71"/>
      <c r="H34" s="72">
        <v>26</v>
      </c>
      <c r="I34" s="961" t="s">
        <v>430</v>
      </c>
      <c r="J34" s="961"/>
      <c r="K34" s="961"/>
      <c r="L34" s="96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58" t="s">
        <v>431</v>
      </c>
      <c r="C35" s="959"/>
      <c r="D35" s="959"/>
      <c r="E35" s="960"/>
      <c r="F35" s="73" t="str">
        <f>IF(L11&gt;2,(L11-2)*2,"0")</f>
        <v>0</v>
      </c>
      <c r="G35" s="74"/>
      <c r="H35" s="72">
        <v>27</v>
      </c>
      <c r="I35" s="961" t="s">
        <v>432</v>
      </c>
      <c r="J35" s="961"/>
      <c r="K35" s="961"/>
      <c r="L35" s="96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58" t="s">
        <v>433</v>
      </c>
      <c r="C36" s="959"/>
      <c r="D36" s="959"/>
      <c r="E36" s="960"/>
      <c r="F36" s="73" t="str">
        <f>IF(L11&gt;2,(L11-2)*L14,"0")</f>
        <v>0</v>
      </c>
      <c r="G36" s="74"/>
      <c r="H36" s="72">
        <v>28</v>
      </c>
      <c r="I36" s="961" t="s">
        <v>434</v>
      </c>
      <c r="J36" s="961"/>
      <c r="K36" s="961"/>
      <c r="L36" s="96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58" t="s">
        <v>435</v>
      </c>
      <c r="C37" s="959"/>
      <c r="D37" s="959"/>
      <c r="E37" s="960"/>
      <c r="F37" s="73">
        <f>M24</f>
        <v>1</v>
      </c>
      <c r="G37" s="74"/>
      <c r="H37" s="72">
        <v>29</v>
      </c>
      <c r="I37" s="961" t="s">
        <v>436</v>
      </c>
      <c r="J37" s="961"/>
      <c r="K37" s="961"/>
      <c r="L37" s="96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61" t="s">
        <v>437</v>
      </c>
      <c r="C38" s="961"/>
      <c r="D38" s="961"/>
      <c r="E38" s="961"/>
      <c r="F38" s="73">
        <f>تسجيل1!C21</f>
        <v>20</v>
      </c>
      <c r="G38" s="74"/>
      <c r="H38" s="72">
        <v>30</v>
      </c>
      <c r="I38" s="961" t="s">
        <v>438</v>
      </c>
      <c r="J38" s="961"/>
      <c r="K38" s="961"/>
      <c r="L38" s="961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48">
        <f>SUM(AA24:AB38)</f>
        <v>18451</v>
      </c>
      <c r="AB39" s="948"/>
    </row>
    <row r="40" ht="20.4" customHeight="1" s="58" customFormat="1">
      <c r="A40" s="962" t="s">
        <v>439</v>
      </c>
      <c r="B40" s="963"/>
      <c r="C40" s="96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48"/>
      <c r="AB40" s="948"/>
    </row>
    <row r="41" ht="18.75" customHeight="1" s="58" customFormat="1">
      <c r="A41" s="949" t="str">
        <f>IF(Format!I5=1,"-------",IF(Format!I5=2,Format!I3,Format!I4))</f>
        <v>صونفي </v>
      </c>
      <c r="B41" s="950"/>
      <c r="C41" s="951"/>
      <c r="D41" s="81"/>
      <c r="E41" s="81"/>
      <c r="F41" s="76"/>
      <c r="G41" s="68"/>
      <c r="H41" s="75"/>
      <c r="I41" s="81"/>
      <c r="J41" s="81"/>
      <c r="K41" s="81"/>
      <c r="L41" s="964" t="s">
        <v>340</v>
      </c>
      <c r="M41" s="965"/>
      <c r="N41" s="96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67">
        <f>AA39+X22+U8</f>
        <v>49458.066464957636</v>
      </c>
      <c r="AB41" s="967"/>
    </row>
    <row r="42" ht="13.95" customHeight="1" s="58" customFormat="1">
      <c r="A42" s="949"/>
      <c r="B42" s="950"/>
      <c r="C42" s="951"/>
      <c r="D42" s="10"/>
      <c r="E42" s="10"/>
      <c r="F42" s="10"/>
      <c r="G42" s="10"/>
      <c r="H42" s="10"/>
      <c r="I42" s="10"/>
      <c r="J42" s="10"/>
      <c r="K42" s="10"/>
      <c r="L42" s="927" t="str">
        <f>IF(Format!B5=1,Format!B2,IF(Format!B5=2,Format!B3,تسجيل1!F4))</f>
        <v>بيج  Ral 1013</v>
      </c>
      <c r="M42" s="928"/>
      <c r="N42" s="92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30" t="str">
        <f>IF(Format!P5=1,"Τηλεχειρισμος",IF(Format!P5=2,"-------","Διακοπτης"))</f>
        <v>Τηλεχειρισμος</v>
      </c>
      <c r="B43" s="931"/>
      <c r="C43" s="932"/>
      <c r="D43" s="10"/>
      <c r="E43" s="10"/>
      <c r="F43" s="10"/>
      <c r="G43" s="10"/>
      <c r="H43" s="10"/>
      <c r="I43" s="10"/>
      <c r="J43" s="10"/>
      <c r="K43" s="10"/>
      <c r="L43" s="933" t="s">
        <v>342</v>
      </c>
      <c r="M43" s="934"/>
      <c r="N43" s="93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36" t="str">
        <f>IF(Format!C8=1,Format!C2,IF(Format!C8=2,Format!C3,IF(Format!C8=3,Format!C4,IF(Format!C8=4,Format!C5,IF(Format!C8=5,Format!C6,تسجيل1!F5)))))</f>
        <v>بيج  Ral 1013</v>
      </c>
      <c r="M44" s="937"/>
      <c r="N44" s="93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39" t="str">
        <f>A3</f>
        <v>اسم العميل </v>
      </c>
      <c r="B96" s="940"/>
      <c r="C96" s="94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41">
        <f>N8</f>
        <v>372</v>
      </c>
      <c r="N97" s="94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43" t="str">
        <f>L44</f>
        <v>بيج  Ral 1013</v>
      </c>
      <c r="K98" s="944"/>
      <c r="L98" s="944"/>
      <c r="M98" s="944"/>
      <c r="N98" s="94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025" t="s">
        <v>444</v>
      </c>
      <c r="H2" s="1025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PERSA</v>
      </c>
      <c r="C3" s="595" t="str">
        <f>تسعير!AI46</f>
        <v>600</v>
      </c>
      <c r="D3" s="595" t="str">
        <f>تسعير!AJ46</f>
        <v>350</v>
      </c>
      <c r="E3" s="595" t="str">
        <f>تسعير!AK46</f>
        <v>سادة</v>
      </c>
      <c r="F3" s="595" t="str">
        <f>تسعير!AL46</f>
        <v>خشبي</v>
      </c>
      <c r="G3" s="1026" t="e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#VALUE!</v>
      </c>
      <c r="H3" s="1026"/>
      <c r="K3" s="633">
        <f>Sheet2!B14</f>
        <v>310000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027" t="s">
        <v>440</v>
      </c>
      <c r="I6" s="1027"/>
      <c r="J6" s="1027"/>
      <c r="K6" s="1027"/>
      <c r="L6" s="1027" t="s">
        <v>446</v>
      </c>
      <c r="M6" s="1027"/>
      <c r="R6" s="635"/>
      <c r="S6" s="361" t="s">
        <v>455</v>
      </c>
      <c r="T6" s="361">
        <f>IF(Table1134[العرض]&lt;=600,ROUND((Table1134[العرض]/100),0),"NO")</f>
        <v>6</v>
      </c>
      <c r="V6" s="1028" t="s">
        <v>448</v>
      </c>
      <c r="W6" s="1028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19295.999999999996</v>
      </c>
      <c r="H7" s="1027"/>
      <c r="I7" s="1027"/>
      <c r="J7" s="1027"/>
      <c r="K7" s="1027"/>
      <c r="L7" s="1027"/>
      <c r="M7" s="1027"/>
      <c r="R7" s="635"/>
      <c r="S7" s="361" t="s">
        <v>458</v>
      </c>
      <c r="T7" s="361">
        <f>IF(Table1134[الامتداد]&lt;=600,ROUND((Table1134[الامتداد]/100),0),"NO")</f>
        <v>4</v>
      </c>
      <c r="V7" s="1028"/>
      <c r="W7" s="1028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27"/>
      <c r="I8" s="1027"/>
      <c r="J8" s="1027"/>
      <c r="K8" s="1027"/>
      <c r="L8" s="1027"/>
      <c r="M8" s="1027"/>
      <c r="P8" s="361" t="e">
        <f>P13*K24*I24*330</f>
        <v>#VALUE!</v>
      </c>
      <c r="R8" s="635"/>
      <c r="S8" s="361" t="s">
        <v>461</v>
      </c>
      <c r="T8" s="361" t="str">
        <f>IF(Table1134[العرض]&lt;=Table1134[الامتداد],T7*T6,"NO")</f>
        <v>NO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27"/>
      <c r="I9" s="1027"/>
      <c r="J9" s="1027"/>
      <c r="K9" s="1027"/>
      <c r="L9" s="1027"/>
      <c r="M9" s="1027"/>
      <c r="R9" s="635"/>
      <c r="S9" s="361" t="s">
        <v>464</v>
      </c>
      <c r="T9" s="361">
        <f>(Table1134[العرض]-((T14*5)+20))/T6</f>
        <v>92.5</v>
      </c>
      <c r="U9" s="361" t="s">
        <v>375</v>
      </c>
      <c r="V9" s="361">
        <f>(Table1134[الامتداد]-((T15*5)+20))/T7</f>
        <v>78.75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 t="e">
        <f>Table80102[[#Totals],[price]]</f>
        <v>#VALUE!</v>
      </c>
      <c r="H10" s="1027"/>
      <c r="I10" s="1027"/>
      <c r="J10" s="1027"/>
      <c r="K10" s="1027"/>
      <c r="L10" s="1027"/>
      <c r="M10" s="1027"/>
      <c r="R10" s="635"/>
      <c r="S10" s="361" t="s">
        <v>466</v>
      </c>
      <c r="T10" s="361">
        <f>ROUND((V9+3)/13,0)</f>
        <v>6</v>
      </c>
      <c r="X10" s="635"/>
    </row>
    <row r="11" ht="14.4" customHeight="1">
      <c r="B11" s="527" t="s">
        <v>467</v>
      </c>
      <c r="F11" s="361" t="e">
        <f>SUM(F7:F10)*0.1</f>
        <v>#VALUE!</v>
      </c>
      <c r="H11" s="1027"/>
      <c r="I11" s="1027"/>
      <c r="J11" s="1027"/>
      <c r="K11" s="1027"/>
      <c r="L11" s="532" t="s">
        <v>164</v>
      </c>
      <c r="M11" s="533" t="str">
        <f>Table1134[الامتداد]</f>
        <v>350</v>
      </c>
      <c r="N11" s="532" t="s">
        <v>125</v>
      </c>
      <c r="O11" s="533" t="str">
        <f>Table1134[العرض]</f>
        <v>600</v>
      </c>
      <c r="P11" s="532" t="s">
        <v>295</v>
      </c>
      <c r="Q11" s="533" t="str">
        <f>Table1134[لون اللوفرز]</f>
        <v>خشبي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 t="e">
        <f>SUBTOTAL(109,Table2135[القيمة])</f>
        <v>#VALUE!</v>
      </c>
      <c r="H12" s="1027"/>
      <c r="I12" s="1027"/>
      <c r="J12" s="1027"/>
      <c r="K12" s="1027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19583.999999999996</v>
      </c>
      <c r="X12" s="635"/>
    </row>
    <row r="13" ht="18" customHeight="1">
      <c r="B13" s="532" t="s">
        <v>164</v>
      </c>
      <c r="C13" s="533" t="str">
        <f>Table1134[الامتداد]</f>
        <v>350</v>
      </c>
      <c r="D13" s="532" t="s">
        <v>125</v>
      </c>
      <c r="E13" s="533" t="str">
        <f>Table1134[العرض]</f>
        <v>600</v>
      </c>
      <c r="F13" s="532" t="s">
        <v>295</v>
      </c>
      <c r="G13" s="533" t="str">
        <f>Table1134[لون اللوفرز]</f>
        <v>خشبي</v>
      </c>
      <c r="H13" s="534"/>
      <c r="I13" s="534"/>
      <c r="L13" s="193" t="s">
        <v>302</v>
      </c>
      <c r="M13" s="196" t="str">
        <f>IF(AND(Table1134[العرض]&gt;=350,Table1134[الامتداد]&gt;=350,Table1134[الامتداد]&lt;=600,Table1134[الامتداد]&gt;=Table1134[العرض],Table1134[العرض]&lt;=400),ROUNDUP((12+((ROUNDUP((M11-210),18))/18)),0),"NO")</f>
        <v>NO</v>
      </c>
      <c r="N13" s="197">
        <f>O11-16.5</f>
        <v>583.5</v>
      </c>
      <c r="O13" s="194" t="s">
        <v>303</v>
      </c>
      <c r="P13" s="194">
        <v>2</v>
      </c>
      <c r="Q13" s="194" t="e">
        <f>IF(($Q$11="سادة"),(K24*Table80102113140[[#This Row],[wt/m]]*I24*($K$3+25000)/1000),((K24*Table80102113140[[#This Row],[wt/m]]*I24*($K$3+70000)/1000)))</f>
        <v>#VALUE!</v>
      </c>
      <c r="R13" s="635"/>
      <c r="S13" s="361" t="s">
        <v>468</v>
      </c>
      <c r="T13" s="361">
        <v>1</v>
      </c>
      <c r="U13" s="361">
        <f>(Table1134[العرض]+Table1134[الامتداد])/50</f>
        <v>19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23449.8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 t="str">
        <f>O11</f>
        <v>600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5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16957.5</v>
      </c>
      <c r="X14" s="635"/>
    </row>
    <row r="15" ht="18" customHeight="1">
      <c r="B15" s="193" t="s">
        <v>302</v>
      </c>
      <c r="C15" s="196">
        <f>ROUNDUP((12+((ROUNDUP((C13-210),15))/15)),0)</f>
        <v>22</v>
      </c>
      <c r="D15" s="197" t="str">
        <f>IF(AND(E13-16.5&lt;384,E13-16.5&gt;300),E13-16.5,"NO")</f>
        <v>NO</v>
      </c>
      <c r="E15" s="194" t="s">
        <v>303</v>
      </c>
      <c r="F15" s="194">
        <v>2.3</v>
      </c>
      <c r="G15" s="194" t="e">
        <f>IF(($G$13="سادة"),(K15*I15*F15*($K$3+25000)/1000),(K15*I15*F15*($K$3+60000)/1000))</f>
        <v>#VALUE!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0</v>
      </c>
      <c r="J15" s="279" t="e">
        <f ref="J15:J20" t="shared" si="0">(I15*100)/D15</f>
        <v>#VALUE!</v>
      </c>
      <c r="K15" s="540" t="e">
        <f ref="K15:K20" t="shared" si="1">C15/(ROUNDDOWN(J15,0))</f>
        <v>#VALUE!</v>
      </c>
      <c r="L15" s="193" t="s">
        <v>471</v>
      </c>
      <c r="M15" s="194"/>
      <c r="N15" s="196" t="str">
        <f>M11</f>
        <v>350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6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17442</v>
      </c>
      <c r="X15" s="635"/>
    </row>
    <row r="16" ht="18" customHeight="1">
      <c r="B16" s="193" t="s">
        <v>304</v>
      </c>
      <c r="C16" s="194">
        <v>2</v>
      </c>
      <c r="D16" s="196" t="str">
        <f>E13</f>
        <v>600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16871.999999999996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6</v>
      </c>
      <c r="J16" s="279">
        <f t="shared" si="0"/>
        <v>1</v>
      </c>
      <c r="K16" s="540">
        <f t="shared" si="1"/>
        <v>2</v>
      </c>
      <c r="L16" s="193" t="s">
        <v>310</v>
      </c>
      <c r="M16" s="194">
        <v>1</v>
      </c>
      <c r="N16" s="194" t="e">
        <f>(15.6*(M13-1)+4)</f>
        <v>#VALUE!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 t="e">
        <f>T8*2</f>
        <v>#VALUE!</v>
      </c>
      <c r="U16" s="361">
        <f>MROUND((T9+V9)/200,1)</f>
        <v>1</v>
      </c>
      <c r="V16" s="361">
        <v>0.9</v>
      </c>
      <c r="W16" s="361" t="e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#VALUE!</v>
      </c>
      <c r="X16" s="635"/>
    </row>
    <row r="17" ht="18" customHeight="1">
      <c r="B17" s="193" t="s">
        <v>306</v>
      </c>
      <c r="C17" s="194">
        <v>2</v>
      </c>
      <c r="D17" s="196" t="str">
        <f>C13</f>
        <v>350</v>
      </c>
      <c r="E17" s="194" t="s">
        <v>303</v>
      </c>
      <c r="F17" s="194">
        <v>3.8</v>
      </c>
      <c r="G17" s="194">
        <f t="shared" si="2"/>
        <v>9842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0">
        <f t="shared" si="1"/>
        <v>1</v>
      </c>
      <c r="L17" s="193" t="s">
        <v>314</v>
      </c>
      <c r="M17" s="194"/>
      <c r="N17" s="194" t="e">
        <f>M13*2</f>
        <v>#VALUE!</v>
      </c>
      <c r="O17" s="194" t="s">
        <v>28</v>
      </c>
      <c r="P17" s="194">
        <v>20</v>
      </c>
      <c r="Q17" s="194" t="e">
        <f>P17*N17</f>
        <v>#VALUE!</v>
      </c>
      <c r="R17" s="635"/>
      <c r="S17" s="361" t="s">
        <v>474</v>
      </c>
      <c r="T17" s="361" t="e">
        <f>T10*T8</f>
        <v>#VALUE!</v>
      </c>
      <c r="U17" s="361">
        <f>MROUND((T9+V9)/200,1)</f>
        <v>1</v>
      </c>
      <c r="V17" s="361">
        <v>0.625</v>
      </c>
      <c r="W17" s="361" t="e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#VALUE!</v>
      </c>
      <c r="X17" s="635"/>
    </row>
    <row r="18" ht="18" customHeight="1">
      <c r="B18" s="193" t="s">
        <v>308</v>
      </c>
      <c r="C18" s="194">
        <v>2</v>
      </c>
      <c r="D18" s="196" t="str">
        <f>E13</f>
        <v>600</v>
      </c>
      <c r="E18" s="194" t="s">
        <v>303</v>
      </c>
      <c r="F18" s="194">
        <v>1.7</v>
      </c>
      <c r="G18" s="194">
        <f t="shared" si="2"/>
        <v>7547.9999999999991</v>
      </c>
      <c r="H18" s="541"/>
      <c r="I18" s="60">
        <f t="shared" si="3"/>
        <v>6</v>
      </c>
      <c r="J18" s="279">
        <f t="shared" si="0"/>
        <v>1</v>
      </c>
      <c r="K18" s="540">
        <f t="shared" si="1"/>
        <v>2</v>
      </c>
      <c r="L18" s="193" t="s">
        <v>317</v>
      </c>
      <c r="M18" s="194"/>
      <c r="N18" s="194" t="e">
        <f>M13*2</f>
        <v>#VALUE!</v>
      </c>
      <c r="O18" s="194" t="s">
        <v>28</v>
      </c>
      <c r="P18" s="194">
        <v>18</v>
      </c>
      <c r="Q18" s="194" t="e">
        <f>P18*N18</f>
        <v>#VALUE!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 t="str">
        <f>IF(AND(C13&lt;601,C13&gt;349,E13&lt;=C13),C13,"NO")</f>
        <v>NO</v>
      </c>
      <c r="E19" s="194" t="s">
        <v>303</v>
      </c>
      <c r="F19" s="194">
        <v>1.7</v>
      </c>
      <c r="G19" s="194" t="e">
        <f t="shared" si="2"/>
        <v>#VALUE!</v>
      </c>
      <c r="H19" s="541"/>
      <c r="I19" s="60">
        <f t="shared" si="3"/>
        <v>0</v>
      </c>
      <c r="J19" s="279" t="e">
        <f t="shared" si="0"/>
        <v>#VALUE!</v>
      </c>
      <c r="K19" s="540" t="e">
        <f t="shared" si="1"/>
        <v>#VALUE!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 t="str">
        <f>D15</f>
        <v>NO</v>
      </c>
      <c r="E20" s="194" t="s">
        <v>303</v>
      </c>
      <c r="F20" s="194">
        <v>0.65</v>
      </c>
      <c r="G20" s="194" t="e">
        <f t="shared" si="2"/>
        <v>#VALUE!</v>
      </c>
      <c r="H20" s="541"/>
      <c r="I20" s="60">
        <f t="shared" si="3"/>
        <v>0</v>
      </c>
      <c r="J20" s="279" t="e">
        <f t="shared" si="0"/>
        <v>#VALUE!</v>
      </c>
      <c r="K20" s="540" t="e">
        <f t="shared" si="1"/>
        <v>#VALUE!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 t="e">
        <f>(T8*4)-4</f>
        <v>#VALUE!</v>
      </c>
      <c r="V20" s="361">
        <v>60</v>
      </c>
      <c r="W20" s="361" t="e">
        <f>Table212[[#This Row],[الوزن المتري]]*Table212[[#This Row],[العدد]]</f>
        <v>#VALUE!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331.59999999999997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 t="e">
        <f>M13*2</f>
        <v>#VALUE!</v>
      </c>
      <c r="O21" s="194" t="s">
        <v>28</v>
      </c>
      <c r="P21" s="194">
        <v>120</v>
      </c>
      <c r="Q21" s="194" t="e">
        <f>N21*P21</f>
        <v>#VALUE!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1"/>
      <c r="I22" s="62"/>
      <c r="J22" s="527"/>
      <c r="K22" s="527"/>
      <c r="L22" s="193" t="s">
        <v>322</v>
      </c>
      <c r="M22" s="194"/>
      <c r="N22" s="194" t="e">
        <f>M13*2</f>
        <v>#VALUE!</v>
      </c>
      <c r="O22" s="194" t="s">
        <v>28</v>
      </c>
      <c r="P22" s="194">
        <v>120</v>
      </c>
      <c r="Q22" s="194" t="e">
        <f>N22*P22</f>
        <v>#VALUE!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 t="str">
        <f>IF(AND((N13&gt;=300),(N13&lt;334)),7,IF(AND((N13&gt;=335),(N13&lt;384)),4,"NO"))</f>
        <v>NO</v>
      </c>
      <c r="J24" s="640" t="e">
        <f>(I24*100)/N13</f>
        <v>#VALUE!</v>
      </c>
      <c r="K24" s="540" t="e">
        <f>M13/(ROUNDDOWN(J24,0))</f>
        <v>#VALUE!</v>
      </c>
      <c r="L24" s="193" t="s">
        <v>54</v>
      </c>
      <c r="M24" s="199" t="e">
        <f>(Table80102113140[[#Totals],[price]]*1.1)/(O11*M11/10000)</f>
        <v>#VALUE!</v>
      </c>
      <c r="N24" s="194"/>
      <c r="O24" s="194"/>
      <c r="P24" s="194"/>
      <c r="Q24" s="194" t="e">
        <f>SUBTOTAL(109,Table80102113140[price])</f>
        <v>#VALUE!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 t="e">
        <f>SUM(W12:W24)*0.15</f>
        <v>#VALUE!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19295.999999999996</v>
      </c>
      <c r="R26" s="635"/>
      <c r="S26" s="361" t="s">
        <v>54</v>
      </c>
      <c r="W26" s="637" t="e">
        <f>SUBTOTAL(109,Table212[القيمة])</f>
        <v>#VALUE!</v>
      </c>
      <c r="X26" s="635"/>
    </row>
    <row r="27" ht="18" customHeight="1">
      <c r="B27" s="193" t="s">
        <v>321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1"/>
      <c r="I27" s="527"/>
      <c r="J27" s="527"/>
      <c r="K27" s="527"/>
      <c r="L27" s="361" t="s">
        <v>468</v>
      </c>
      <c r="M27" s="361">
        <v>1</v>
      </c>
      <c r="N27" s="361" t="str">
        <f>IF(AND(O11&gt;349,M11&gt;349,O11&lt;=M11),(O11+M11)/50,"NO")</f>
        <v>NO</v>
      </c>
      <c r="O27" s="361">
        <v>3.63</v>
      </c>
      <c r="P27" s="361" t="e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#VALUE!</v>
      </c>
      <c r="R27" s="635"/>
      <c r="S27" s="1024"/>
      <c r="T27" s="1024"/>
      <c r="U27" s="1024"/>
      <c r="V27" s="1024"/>
      <c r="W27" s="1024"/>
      <c r="X27" s="635"/>
    </row>
    <row r="28" ht="18" customHeight="1">
      <c r="B28" s="193" t="s">
        <v>322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28" t="s">
        <v>449</v>
      </c>
      <c r="W28" s="1028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28"/>
      <c r="W29" s="1028"/>
      <c r="X29" s="635"/>
    </row>
    <row r="30" ht="18" customHeight="1">
      <c r="B30" s="193" t="s">
        <v>328</v>
      </c>
      <c r="C30" s="194"/>
      <c r="D30" s="194" t="e">
        <f>ROUNDUP(((D15*C15)/100),0)</f>
        <v>#VALUE!</v>
      </c>
      <c r="E30" s="194" t="s">
        <v>303</v>
      </c>
      <c r="F30" s="194">
        <v>10</v>
      </c>
      <c r="G30" s="194" t="e">
        <f>D30*F30</f>
        <v>#VALUE!</v>
      </c>
      <c r="H30" s="541"/>
      <c r="I30" s="527"/>
      <c r="L30" s="361" t="s">
        <v>482</v>
      </c>
      <c r="M30" s="361">
        <v>1</v>
      </c>
      <c r="P30" s="636" t="e">
        <f>Table80102113140[[#Totals],[price]]</f>
        <v>#VALUE!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 t="e">
        <f>D30</f>
        <v>#VALUE!</v>
      </c>
      <c r="E31" s="194" t="s">
        <v>303</v>
      </c>
      <c r="F31" s="194">
        <v>20</v>
      </c>
      <c r="G31" s="194" t="e">
        <f>D31*F31</f>
        <v>#VALUE!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19295.999999999996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15523.900000000002</v>
      </c>
      <c r="X32" s="635"/>
    </row>
    <row r="33" ht="15.6" customHeight="1">
      <c r="B33" s="193" t="s">
        <v>331</v>
      </c>
      <c r="C33" s="194" t="s">
        <v>332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 t="e">
        <f>SUM(P26:P33)*0.1</f>
        <v>#VALUE!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 t="e">
        <f>SUBTOTAL(109,Table211[القيمة])</f>
        <v>#VALUE!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 t="e">
        <f>(Table80102[[#Totals],[price]]*1.1)/(E13*C13/10000)</f>
        <v>#VALUE!</v>
      </c>
      <c r="D36" s="194"/>
      <c r="E36" s="194"/>
      <c r="F36" s="194"/>
      <c r="G36" s="194" t="e">
        <f>SUBTOTAL(109,Table80102[price])</f>
        <v>#VALUE!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24"/>
      <c r="B37" s="1024"/>
      <c r="C37" s="1024"/>
      <c r="D37" s="1024"/>
      <c r="E37" s="1024"/>
      <c r="F37" s="1024"/>
      <c r="G37" s="1024"/>
      <c r="H37" s="1024"/>
      <c r="I37" s="1024"/>
      <c r="J37" s="1024"/>
      <c r="K37" s="1024"/>
      <c r="L37" s="1024"/>
      <c r="M37" s="1024"/>
      <c r="N37" s="1024"/>
      <c r="O37" s="1024"/>
      <c r="P37" s="1024"/>
      <c r="Q37" s="1024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31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32" t="s">
        <v>447</v>
      </c>
      <c r="N38" s="1032"/>
      <c r="O38" s="1032"/>
      <c r="P38" s="1032"/>
      <c r="Q38" s="1032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31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19295.999999999996</v>
      </c>
      <c r="M39" s="1032"/>
      <c r="N39" s="1032"/>
      <c r="O39" s="1032"/>
      <c r="P39" s="1032"/>
      <c r="Q39" s="1032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31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32"/>
      <c r="N40" s="1032"/>
      <c r="O40" s="1032"/>
      <c r="P40" s="1032"/>
      <c r="Q40" s="1032"/>
      <c r="R40" s="635"/>
      <c r="S40" s="527"/>
      <c r="T40" s="527"/>
      <c r="U40" s="527"/>
      <c r="V40" s="527"/>
      <c r="W40" s="527"/>
      <c r="X40" s="635"/>
    </row>
    <row r="41" ht="15" customHeight="1">
      <c r="A41" s="1031"/>
      <c r="B41" s="361" t="s">
        <v>490</v>
      </c>
      <c r="C41" s="361">
        <v>1</v>
      </c>
      <c r="F41" s="641">
        <f>L47</f>
        <v>86920.212547697418</v>
      </c>
      <c r="M41" s="1032"/>
      <c r="N41" s="1032"/>
      <c r="O41" s="1032"/>
      <c r="P41" s="1032"/>
      <c r="Q41" s="1032"/>
      <c r="R41" s="635"/>
      <c r="S41" s="1033"/>
      <c r="T41" s="1033"/>
      <c r="U41" s="1033"/>
      <c r="V41" s="1033"/>
      <c r="W41" s="1033"/>
      <c r="X41" s="635"/>
    </row>
    <row r="42" ht="21" customHeight="1">
      <c r="A42" s="1031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34" t="s">
        <v>368</v>
      </c>
      <c r="J42" s="1035"/>
      <c r="K42" s="1036" t="s">
        <v>337</v>
      </c>
      <c r="L42" s="1037"/>
      <c r="M42" s="1032"/>
      <c r="N42" s="1032"/>
      <c r="O42" s="1032"/>
      <c r="P42" s="1032"/>
      <c r="Q42" s="1032"/>
      <c r="R42" s="635"/>
      <c r="S42" s="527" t="s">
        <v>492</v>
      </c>
      <c r="T42" s="527">
        <f>(Table1134[الامتداد]-30)/17</f>
        <v>18.823529411764707</v>
      </c>
      <c r="U42" s="527"/>
      <c r="V42" s="1030" t="s">
        <v>456</v>
      </c>
      <c r="W42" s="1030"/>
      <c r="X42" s="635"/>
    </row>
    <row r="43" ht="17.4" customHeight="1">
      <c r="A43" s="1031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 t="str">
        <f>Table1134[العرض]</f>
        <v>600</v>
      </c>
      <c r="K43" s="645" t="s">
        <v>375</v>
      </c>
      <c r="L43" s="646" t="str">
        <f>Table1134[الامتداد]</f>
        <v>350</v>
      </c>
      <c r="M43" s="1032"/>
      <c r="N43" s="1032"/>
      <c r="O43" s="1032"/>
      <c r="P43" s="1032"/>
      <c r="Q43" s="1032"/>
      <c r="R43" s="635"/>
      <c r="S43" s="527" t="s">
        <v>494</v>
      </c>
      <c r="T43" s="527">
        <f>(Table1134[الامتداد]-30)/17</f>
        <v>18.823529411764707</v>
      </c>
      <c r="U43" s="527">
        <f>ROUND(T42+T43,0)</f>
        <v>38</v>
      </c>
      <c r="V43" s="1030"/>
      <c r="W43" s="1030"/>
      <c r="X43" s="635"/>
    </row>
    <row r="44" ht="19.2" customHeight="1">
      <c r="A44" s="1031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21</v>
      </c>
      <c r="K44" s="648" t="s">
        <v>495</v>
      </c>
      <c r="L44" s="649" t="s">
        <v>496</v>
      </c>
      <c r="M44" s="1032"/>
      <c r="N44" s="1032"/>
      <c r="O44" s="1032"/>
      <c r="P44" s="1032"/>
      <c r="Q44" s="1032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31"/>
      <c r="B45" s="361" t="s">
        <v>478</v>
      </c>
      <c r="C45" s="361">
        <f>ROUNDUP((Table1134[العرض]+Table1134[الامتداد])*2/500,0)</f>
        <v>4</v>
      </c>
      <c r="E45" s="638">
        <v>350</v>
      </c>
      <c r="F45" s="361">
        <f>Table4137[[#This Row],[Column4]]*Table4137[[#This Row],[Column2]]</f>
        <v>1400</v>
      </c>
      <c r="I45" s="650" t="s">
        <v>379</v>
      </c>
      <c r="J45" s="648">
        <f>J43-1</f>
        <v>599</v>
      </c>
      <c r="K45" s="651" t="s">
        <v>380</v>
      </c>
      <c r="L45" s="652">
        <f>IF(B141=1,P194,IF(B141=2,P194,IF(B141=3,P194,IF(B141=4,P194,IF(B141=5,P194,"-------")))))</f>
        <v>322</v>
      </c>
      <c r="M45" s="1032"/>
      <c r="N45" s="1032"/>
      <c r="O45" s="1032"/>
      <c r="P45" s="1032"/>
      <c r="Q45" s="1032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19295.999999999996</v>
      </c>
      <c r="X45" s="635"/>
    </row>
    <row r="46" ht="21" customHeight="1">
      <c r="A46" s="1031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038" t="s">
        <v>369</v>
      </c>
      <c r="K46" s="1039"/>
      <c r="L46" s="1040">
        <f>IF(Table1134[لون اللوفرز]=AI1,K3+(Sheet2!B41*1000),IF(Table1134[لون اللوفرز]=AI2,K3+Sheet2!B15,"NO"))</f>
        <v>380000</v>
      </c>
      <c r="M46" s="1040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19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23104.95</v>
      </c>
      <c r="X46" s="635"/>
      <c r="Y46" s="527"/>
    </row>
    <row r="47" ht="19.2" customHeight="1">
      <c r="A47" s="1031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043" t="s">
        <v>498</v>
      </c>
      <c r="K47" s="1043"/>
      <c r="L47" s="1044">
        <f>Table13138[[#Totals],[السعر]]+Table15139[[#Totals],[قيمة]]</f>
        <v>86920.212547697418</v>
      </c>
      <c r="M47" s="104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2362.5</v>
      </c>
      <c r="X47" s="635"/>
      <c r="Y47" s="527"/>
    </row>
    <row r="48" ht="17.4" customHeight="1">
      <c r="A48" s="1031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45" t="s">
        <v>127</v>
      </c>
      <c r="K48" s="1046"/>
      <c r="L48" s="1047">
        <f>L47/J44</f>
        <v>4139.0577403665438</v>
      </c>
      <c r="M48" s="1048"/>
      <c r="N48" s="527"/>
      <c r="O48" s="527"/>
      <c r="P48" s="527"/>
      <c r="Q48" s="527"/>
      <c r="R48" s="635"/>
      <c r="S48" s="361" t="s">
        <v>485</v>
      </c>
      <c r="T48" s="361" t="str">
        <f>IF(AND(Table1134[العرض]&lt;=400,Table1134[العرض]&gt;=350,Table1134[الامتداد]&lt;=500,Table1134[الامتداد]&gt;=350,Table1134[الامتداد]&gt;=Table1134[العرض]),U43,"NO")</f>
        <v>NO</v>
      </c>
      <c r="U48" s="361">
        <f>Table1134[العرض]/100</f>
        <v>6</v>
      </c>
      <c r="V48" s="361">
        <v>0.75</v>
      </c>
      <c r="W48" s="361" t="e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#VALUE!</v>
      </c>
      <c r="X48" s="635"/>
      <c r="Y48" s="527"/>
    </row>
    <row r="49" ht="28.2" customHeight="1">
      <c r="A49" s="1031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31"/>
      <c r="B50" s="527"/>
      <c r="C50" s="527"/>
      <c r="D50" s="527"/>
      <c r="E50" s="1029" t="s">
        <v>500</v>
      </c>
      <c r="F50" s="1029"/>
      <c r="G50" s="1029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31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31"/>
      <c r="B52" s="659" t="s">
        <v>389</v>
      </c>
      <c r="C52" s="661">
        <f>H68</f>
        <v>2</v>
      </c>
      <c r="D52" s="662">
        <f>G234</f>
        <v>315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1.575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13547.082251082253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31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599</v>
      </c>
      <c r="E53" s="541">
        <f>IF(D53&lt;=400,4,0)</f>
        <v>0</v>
      </c>
      <c r="F53" s="541">
        <f>IF(AND(D53&gt;401,D53&lt;=500),5,0)</f>
        <v>0</v>
      </c>
      <c r="G53" s="541">
        <f>IF(AND(D53&gt;501,D53&lt;=600),6,0)</f>
        <v>6</v>
      </c>
      <c r="H53" s="541">
        <f>IF(AND(D53&gt;601,D53&lt;=700),7,0)</f>
        <v>0</v>
      </c>
      <c r="I53" s="541"/>
      <c r="J53" s="541"/>
      <c r="K53" s="541">
        <f t="shared" si="4"/>
        <v>6</v>
      </c>
      <c r="L53" s="663">
        <f t="shared" si="5"/>
        <v>1.9966666666666666</v>
      </c>
      <c r="M53" s="541">
        <f ref="M53:M62" t="shared" si="6">CEILING(L53,0.25)</f>
        <v>2</v>
      </c>
      <c r="N53" s="541">
        <f ref="N53:N61" t="shared" si="7">C53*K53</f>
        <v>12</v>
      </c>
      <c r="O53" s="663">
        <v>1.8637873754152825</v>
      </c>
      <c r="P53" s="664">
        <f ref="P53:P61" t="shared" si="8">($L$46/1000)*O53*N53</f>
        <v>8498.8704318936889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31"/>
      <c r="B54" s="659" t="s">
        <v>391</v>
      </c>
      <c r="C54" s="661" t="str">
        <f>IF(H68&lt;=3,"0",(H68-3)*2)</f>
        <v>0</v>
      </c>
      <c r="D54" s="662">
        <f>IF(C54="-------","-------",H74-5)</f>
        <v>586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31"/>
      <c r="B55" s="659" t="s">
        <v>393</v>
      </c>
      <c r="C55" s="661">
        <f>IF(H68&gt;2,2*H71,IF(H68=2,H71))</f>
        <v>5</v>
      </c>
      <c r="D55" s="662">
        <f>D53</f>
        <v>599</v>
      </c>
      <c r="E55" s="541">
        <f>IF(D55&lt;=400,4,0)</f>
        <v>0</v>
      </c>
      <c r="F55" s="541">
        <f>IF(AND(D55&gt;401,D55&lt;=500),5,0)</f>
        <v>0</v>
      </c>
      <c r="G55" s="541">
        <f>IF(AND(D55&gt;501,D55&lt;=600),6,0)</f>
        <v>6</v>
      </c>
      <c r="H55" s="541">
        <f>IF(AND(D55&gt;601,D55&lt;=700),7,0)</f>
        <v>0</v>
      </c>
      <c r="I55" s="541"/>
      <c r="J55" s="541"/>
      <c r="K55" s="541">
        <f t="shared" si="4"/>
        <v>6</v>
      </c>
      <c r="L55" s="663">
        <f t="shared" si="5"/>
        <v>4.9916666666666671</v>
      </c>
      <c r="M55" s="541">
        <f>CEILING(L55,0.5)</f>
        <v>5</v>
      </c>
      <c r="N55" s="541">
        <f t="shared" si="7"/>
        <v>30</v>
      </c>
      <c r="O55" s="663">
        <v>1.0517241379310345</v>
      </c>
      <c r="P55" s="664">
        <f t="shared" si="8"/>
        <v>11989.655172413792</v>
      </c>
      <c r="Q55" s="654"/>
      <c r="R55" s="635"/>
      <c r="S55" s="527" t="s">
        <v>467</v>
      </c>
      <c r="T55" s="527"/>
      <c r="U55" s="527"/>
      <c r="V55" s="527"/>
      <c r="W55" s="527" t="e">
        <f>SUM(W45:W54)*0.15</f>
        <v>#VALUE!</v>
      </c>
      <c r="X55" s="635"/>
      <c r="Y55" s="527"/>
    </row>
    <row r="56" ht="18" customHeight="1">
      <c r="A56" s="1031"/>
      <c r="B56" s="659" t="s">
        <v>395</v>
      </c>
      <c r="C56" s="661" t="str">
        <f>IF(H68&lt;=3,"0",(H68-3)*H71)</f>
        <v>0</v>
      </c>
      <c r="D56" s="662">
        <f>IF(C56="-------","---------",D54)</f>
        <v>586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 t="e">
        <f>SUBTOTAL(109,Table212136[القيمة])</f>
        <v>#VALUE!</v>
      </c>
      <c r="X56" s="635"/>
      <c r="Y56" s="527"/>
    </row>
    <row r="57" ht="18" customHeight="1">
      <c r="A57" s="1031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597.5</v>
      </c>
      <c r="E57" s="541">
        <f>IF(D57&lt;=400,4,0)</f>
        <v>0</v>
      </c>
      <c r="F57" s="541">
        <f>IF(AND(D57&gt;401,D57&lt;=500),5,0)</f>
        <v>0</v>
      </c>
      <c r="G57" s="541">
        <f>IF(AND(D57&gt;501,D57&lt;=600),6,0)</f>
        <v>6</v>
      </c>
      <c r="H57" s="541">
        <f>IF(AND(D57&gt;601,D57&lt;=700),7,0)</f>
        <v>0</v>
      </c>
      <c r="I57" s="541"/>
      <c r="J57" s="541"/>
      <c r="K57" s="541">
        <f t="shared" si="4"/>
        <v>6</v>
      </c>
      <c r="L57" s="663">
        <f t="shared" si="5"/>
        <v>0.99583333333333324</v>
      </c>
      <c r="M57" s="541">
        <f ref="M57:M58" t="shared" si="9">CEILING(L57,0.5)</f>
        <v>1</v>
      </c>
      <c r="N57" s="541">
        <f t="shared" si="7"/>
        <v>6</v>
      </c>
      <c r="O57" s="663">
        <v>1.394871794871795</v>
      </c>
      <c r="P57" s="664">
        <f t="shared" si="8"/>
        <v>3180.3076923076924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31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594.5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29.09090909090909</v>
      </c>
      <c r="V58" s="1030" t="s">
        <v>459</v>
      </c>
      <c r="W58" s="1030"/>
      <c r="X58" s="635"/>
      <c r="Y58" s="527"/>
    </row>
    <row r="59" ht="28.95" customHeight="1">
      <c r="A59" s="1031"/>
      <c r="B59" s="659" t="s">
        <v>399</v>
      </c>
      <c r="C59" s="661" t="str">
        <f>IF(H68&lt;=3,"0",(H68-3))</f>
        <v>0</v>
      </c>
      <c r="D59" s="662">
        <f>IF(C59="-------","-------",H74)</f>
        <v>591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29</v>
      </c>
      <c r="U59" s="527"/>
      <c r="V59" s="1030"/>
      <c r="W59" s="1030"/>
      <c r="X59" s="635"/>
      <c r="Y59" s="527"/>
    </row>
    <row r="60" ht="18" customHeight="1">
      <c r="A60" s="1031"/>
      <c r="B60" s="659" t="str">
        <f>IF(I138=1,"Balloon","-------")</f>
        <v>-------</v>
      </c>
      <c r="C60" s="661">
        <v>0</v>
      </c>
      <c r="D60" s="662">
        <f>IF(C60="-------","-------",J43-2.5)</f>
        <v>597.5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31"/>
      <c r="B61" s="659" t="s">
        <v>400</v>
      </c>
      <c r="C61" s="659">
        <f>IF([2]Royal!W49=[2]Royal!AO50,0,(C53+C54)/2)</f>
        <v>0</v>
      </c>
      <c r="D61" s="662">
        <f>H74-7</f>
        <v>584</v>
      </c>
      <c r="E61" s="541">
        <f>IF(D61&lt;=300,3,0)</f>
        <v>0</v>
      </c>
      <c r="F61" s="541">
        <f>IF(D61&gt;300,3.5,0)</f>
        <v>3.5</v>
      </c>
      <c r="G61" s="541">
        <f>IF(D61&gt;350,4,0)</f>
        <v>4</v>
      </c>
      <c r="H61" s="541">
        <f>IF(D61&gt;400,5,0)</f>
        <v>5</v>
      </c>
      <c r="I61" s="541">
        <f>IF(D61&gt;500,6,0)</f>
        <v>6</v>
      </c>
      <c r="J61" s="541">
        <f>IF(D61&gt;600,7,0)</f>
        <v>0</v>
      </c>
      <c r="K61" s="541">
        <f t="shared" si="4"/>
        <v>6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19295.999999999996</v>
      </c>
      <c r="X61" s="635"/>
      <c r="Y61" s="527"/>
    </row>
    <row r="62" ht="18" customHeight="1">
      <c r="A62" s="1031"/>
      <c r="B62" s="659" t="s">
        <v>402</v>
      </c>
      <c r="C62" s="661">
        <f>H68</f>
        <v>2</v>
      </c>
      <c r="D62" s="662">
        <f>(D52*2)+45</f>
        <v>675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13.5</v>
      </c>
      <c r="M62" s="541">
        <f t="shared" si="6"/>
        <v>13.5</v>
      </c>
      <c r="N62" s="541">
        <f>M62*K62</f>
        <v>13.5</v>
      </c>
      <c r="O62" s="541">
        <v>200</v>
      </c>
      <c r="P62" s="664">
        <f>O62*N62</f>
        <v>2700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9.5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23104.95</v>
      </c>
      <c r="X62" s="635"/>
      <c r="Y62" s="527"/>
    </row>
    <row r="63" ht="18" customHeight="1">
      <c r="A63" s="1031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39915.915547697427</v>
      </c>
      <c r="Q63" s="654"/>
      <c r="R63" s="635"/>
      <c r="S63" s="361" t="s">
        <v>510</v>
      </c>
      <c r="T63" s="361" t="str">
        <f>IF(AND(Table1134[العرض]&lt;=400,Table1134[العرض]&gt;=350,Table1134[الامتداد]&lt;=500,Table1134[الامتداد]&gt;=350,Table1134[الامتداد]&gt;=Table1134[العرض]),T59,"NO")</f>
        <v>NO</v>
      </c>
      <c r="U63" s="361">
        <f>Table1134[العرض]/100</f>
        <v>6</v>
      </c>
      <c r="V63" s="361">
        <v>1.2</v>
      </c>
      <c r="W63" s="361" t="e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#VALUE!</v>
      </c>
      <c r="X63" s="635"/>
      <c r="Y63" s="527"/>
    </row>
    <row r="64" ht="17.4" customHeight="1">
      <c r="A64" s="1031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1968.75</v>
      </c>
      <c r="X64" s="635"/>
      <c r="Y64" s="527"/>
    </row>
    <row r="65" ht="18" customHeight="1">
      <c r="A65" s="1031"/>
      <c r="B65" s="669" t="s">
        <v>513</v>
      </c>
      <c r="C65" s="671">
        <f>J45*L45*1.7/10000</f>
        <v>32.78926</v>
      </c>
      <c r="D65" s="541">
        <v>950</v>
      </c>
      <c r="E65" s="541">
        <f>D65*C65</f>
        <v>31149.797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31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31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51" t="s">
        <v>366</v>
      </c>
      <c r="I67" s="1051"/>
      <c r="J67" s="105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31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51">
        <v>2</v>
      </c>
      <c r="I68" s="1051"/>
      <c r="J68" s="105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31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31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52" t="s">
        <v>392</v>
      </c>
      <c r="I70" s="1052"/>
      <c r="J70" s="105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31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 t="e">
        <f>SUM(W61:W69)*0.15</f>
        <v>#VALUE!</v>
      </c>
      <c r="X71" s="635"/>
    </row>
    <row r="72" ht="18" customHeight="1">
      <c r="A72" s="1031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 t="e">
        <f>SUBTOTAL(109,Table2121367[القيمة])</f>
        <v>#VALUE!</v>
      </c>
      <c r="X72" s="635"/>
    </row>
    <row r="73" ht="18">
      <c r="A73" s="1031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53" t="s">
        <v>397</v>
      </c>
      <c r="I73" s="1053"/>
      <c r="J73" s="1053"/>
      <c r="K73" s="527"/>
      <c r="L73" s="527"/>
      <c r="M73" s="527"/>
      <c r="N73" s="527"/>
      <c r="O73" s="527"/>
      <c r="P73" s="527"/>
      <c r="Q73" s="527"/>
      <c r="R73" s="635"/>
      <c r="S73" s="1024"/>
      <c r="T73" s="1024"/>
      <c r="U73" s="1024"/>
      <c r="V73" s="1024"/>
      <c r="W73" s="1024"/>
      <c r="X73" s="635"/>
    </row>
    <row r="74" ht="21">
      <c r="A74" s="1031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041">
        <f>IF(B141=1,(J43-2-6)/(H68-1),IF(B141=2,(J43-2-7)/(H68-1),IF(B141=3,(J43-2-6)/(H68-1),IF(B141=4,(J43-2-8.5)/(H68-1),IF(B141=5,(J43-2-10)/(H68-1),"--------")))))</f>
        <v>591</v>
      </c>
      <c r="I74" s="1041"/>
      <c r="J74" s="1041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2</v>
      </c>
      <c r="V74" s="1042" t="s">
        <v>462</v>
      </c>
      <c r="W74" s="1042"/>
      <c r="X74" s="635"/>
    </row>
    <row r="75" ht="18">
      <c r="A75" s="1031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15</v>
      </c>
      <c r="V75" s="1042"/>
      <c r="W75" s="1042"/>
      <c r="X75" s="635"/>
    </row>
    <row r="76" ht="18">
      <c r="A76" s="1031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53" t="s">
        <v>347</v>
      </c>
      <c r="I76" s="1053"/>
      <c r="J76" s="105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31"/>
      <c r="B77" s="671" t="s">
        <v>431</v>
      </c>
      <c r="C77" s="671" t="str">
        <f>IF(H68&gt;2,(H68-2)*2,"0")</f>
        <v>0</v>
      </c>
      <c r="D77" s="541">
        <f>0.4*L46/1000</f>
        <v>152</v>
      </c>
      <c r="E77" s="541">
        <f t="shared" si="17"/>
        <v>0</v>
      </c>
      <c r="F77" s="654"/>
      <c r="G77" s="654"/>
      <c r="H77" s="674" t="s">
        <v>324</v>
      </c>
      <c r="I77" s="1054" t="s">
        <v>401</v>
      </c>
      <c r="J77" s="105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19295.999999999996</v>
      </c>
      <c r="X77" s="635"/>
    </row>
    <row r="78" ht="18">
      <c r="A78" s="1031"/>
      <c r="B78" s="671" t="s">
        <v>433</v>
      </c>
      <c r="C78" s="671" t="str">
        <f>IF(H68&gt;2,(H68-2)*H71,"0")</f>
        <v>0</v>
      </c>
      <c r="D78" s="541">
        <f>0.2*L46/1000</f>
        <v>76</v>
      </c>
      <c r="E78" s="541">
        <f t="shared" si="17"/>
        <v>0</v>
      </c>
      <c r="F78" s="654"/>
      <c r="G78" s="654"/>
      <c r="H78" s="672">
        <f>IF(F141=1,"-------",IF(F141=5,"-------",I133))</f>
        <v>8</v>
      </c>
      <c r="I78" s="1053" t="str">
        <f>IF(H78="-------","-------",E114)</f>
        <v>4Χ220- 1Χ250</v>
      </c>
      <c r="J78" s="105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9.5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23104.95</v>
      </c>
      <c r="X78" s="635"/>
    </row>
    <row r="79" ht="18">
      <c r="A79" s="1031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 t="str">
        <f>IF(AND(Table1134[العرض]&gt;=350,Table1134[العرض]&lt;=600,Table1134[الامتداد]&gt;=Table1134[العرض]),(Table1134[الامتداد]/50)+1,"NO")</f>
        <v>NO</v>
      </c>
      <c r="U79" s="361">
        <f>MROUND(Table1134[العرض]/100,1)</f>
        <v>6</v>
      </c>
      <c r="V79" s="361">
        <v>1.6</v>
      </c>
      <c r="W79" s="361" t="e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#VALUE!</v>
      </c>
      <c r="X79" s="635"/>
    </row>
    <row r="80" ht="18">
      <c r="A80" s="1031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6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3000</v>
      </c>
      <c r="X80" s="635"/>
    </row>
    <row r="81" ht="18">
      <c r="A81" s="1031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31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31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31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31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31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 t="str">
        <f>T79</f>
        <v>NO</v>
      </c>
      <c r="U86" s="639"/>
      <c r="V86" s="527">
        <v>250</v>
      </c>
      <c r="W86" s="361" t="e">
        <f>Table212136714[[#This Row],[الوزن المتري]]*Table212136714[[#This Row],[العدد]]</f>
        <v>#VALUE!</v>
      </c>
      <c r="X86" s="635"/>
    </row>
    <row r="87" ht="18">
      <c r="A87" s="1031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 t="e">
        <f>SUM(W77:W86)*0.15</f>
        <v>#VALUE!</v>
      </c>
      <c r="X87" s="635"/>
    </row>
    <row r="88" ht="18">
      <c r="A88" s="1031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 t="e">
        <f>SUBTOTAL(109,Table212136714[القيمة])</f>
        <v>#VALUE!</v>
      </c>
      <c r="X88" s="635"/>
    </row>
    <row r="89" ht="18">
      <c r="A89" s="1031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24"/>
      <c r="T89" s="1024"/>
      <c r="U89" s="1024"/>
      <c r="V89" s="1024"/>
      <c r="W89" s="1024"/>
      <c r="X89" s="635"/>
    </row>
    <row r="90" ht="18">
      <c r="A90" s="1031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31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31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31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31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31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31"/>
      <c r="B96" s="675" t="s">
        <v>54</v>
      </c>
      <c r="D96" s="595"/>
      <c r="E96" s="595">
        <f>SUBTOTAL(109,Table15139[قيمة])</f>
        <v>47004.297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31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31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31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31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31"/>
      <c r="B101" s="1055" t="str">
        <f>K42</f>
        <v>اسم العميل </v>
      </c>
      <c r="C101" s="1056"/>
      <c r="D101" s="1056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31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599</v>
      </c>
      <c r="M102" s="534" t="str">
        <f>K45</f>
        <v>Χ</v>
      </c>
      <c r="N102" s="1049">
        <f>L45</f>
        <v>322</v>
      </c>
      <c r="O102" s="1050"/>
      <c r="P102" s="534"/>
      <c r="Q102" s="683"/>
      <c r="R102" s="635"/>
    </row>
    <row r="103" ht="18">
      <c r="A103" s="1031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57" t="str">
        <f>L109</f>
        <v>بيج  Ral 1013</v>
      </c>
      <c r="L103" s="1058"/>
      <c r="M103" s="1058"/>
      <c r="N103" s="1058"/>
      <c r="O103" s="1059"/>
      <c r="P103" s="534"/>
      <c r="Q103" s="683"/>
      <c r="R103" s="635"/>
    </row>
    <row r="104" ht="18">
      <c r="A104" s="1031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31"/>
      <c r="B105" s="691" t="s">
        <v>337</v>
      </c>
      <c r="C105" s="1060">
        <f>[2]Royal!J47</f>
        <v>0</v>
      </c>
      <c r="D105" s="1061"/>
      <c r="E105" s="1061"/>
      <c r="F105" s="1061"/>
      <c r="G105" s="1062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31"/>
      <c r="B106" s="691" t="s">
        <v>338</v>
      </c>
      <c r="C106" s="691"/>
      <c r="D106" s="691"/>
      <c r="E106" s="691"/>
      <c r="F106" s="691"/>
      <c r="G106" s="1063" t="s">
        <v>339</v>
      </c>
      <c r="H106" s="1063"/>
      <c r="I106" s="691"/>
      <c r="J106" s="691"/>
      <c r="K106" s="527"/>
      <c r="L106" s="964" t="s">
        <v>340</v>
      </c>
      <c r="M106" s="965"/>
      <c r="N106" s="966"/>
      <c r="O106" s="527"/>
      <c r="P106" s="527"/>
      <c r="Q106" s="677"/>
      <c r="R106" s="635"/>
    </row>
    <row r="107" ht="18">
      <c r="A107" s="1031"/>
      <c r="B107" s="691" t="s">
        <v>340</v>
      </c>
      <c r="C107" s="691"/>
      <c r="D107" s="691"/>
      <c r="E107" s="691"/>
      <c r="F107" s="691"/>
      <c r="G107" s="1064" t="s">
        <v>341</v>
      </c>
      <c r="H107" s="1065"/>
      <c r="I107" s="1065"/>
      <c r="J107" s="1066"/>
      <c r="K107" s="527"/>
      <c r="L107" s="1067" t="str">
        <f>IF(C139=1,C136,IF(C139=2,C137,G107))</f>
        <v>بيج  Ral 1013</v>
      </c>
      <c r="M107" s="1068"/>
      <c r="N107" s="1069"/>
      <c r="O107" s="527"/>
      <c r="P107" s="527"/>
      <c r="Q107" s="677"/>
      <c r="R107" s="635"/>
    </row>
    <row r="108" ht="18">
      <c r="A108" s="1031"/>
      <c r="B108" s="691" t="s">
        <v>342</v>
      </c>
      <c r="C108" s="691"/>
      <c r="D108" s="691"/>
      <c r="E108" s="691"/>
      <c r="F108" s="691"/>
      <c r="G108" s="1072" t="s">
        <v>343</v>
      </c>
      <c r="H108" s="1073"/>
      <c r="I108" s="1073"/>
      <c r="J108" s="1074"/>
      <c r="K108" s="527"/>
      <c r="L108" s="933" t="s">
        <v>342</v>
      </c>
      <c r="M108" s="934"/>
      <c r="N108" s="935"/>
      <c r="O108" s="527"/>
      <c r="P108" s="527"/>
      <c r="Q108" s="677"/>
      <c r="R108" s="635"/>
    </row>
    <row r="109" ht="18">
      <c r="A109" s="1031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75" t="str">
        <f>IF(D142=1,D136,IF(D142=2,D137,IF(D142=3,D138,IF(D142=4,D139,IF(D142=5,D140,G108)))))</f>
        <v>بيج  Ral 1013</v>
      </c>
      <c r="M109" s="1076"/>
      <c r="N109" s="1077"/>
      <c r="O109" s="527"/>
      <c r="P109" s="527"/>
      <c r="Q109" s="677"/>
      <c r="R109" s="635"/>
    </row>
    <row r="110" ht="18">
      <c r="A110" s="1031"/>
      <c r="B110" s="691"/>
      <c r="C110" s="693" t="s">
        <v>125</v>
      </c>
      <c r="D110" s="694" t="str">
        <f>Table1134[العرض]</f>
        <v>600</v>
      </c>
      <c r="E110" s="695" t="s">
        <v>164</v>
      </c>
      <c r="F110" s="696" t="str">
        <f>Table1134[الامتداد]</f>
        <v>350</v>
      </c>
      <c r="G110" s="691"/>
      <c r="H110" s="691"/>
      <c r="I110" s="691"/>
      <c r="J110" s="691"/>
      <c r="K110" s="527"/>
      <c r="L110" s="1078" t="s">
        <v>439</v>
      </c>
      <c r="M110" s="1079"/>
      <c r="N110" s="1079"/>
      <c r="O110" s="527"/>
      <c r="P110" s="527"/>
      <c r="Q110" s="677"/>
      <c r="R110" s="635"/>
    </row>
    <row r="111" ht="18">
      <c r="A111" s="1031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80" t="str">
        <f>IF(J139=1,"-------",IF(J139=2,J137,J138))</f>
        <v>صونفي </v>
      </c>
      <c r="M111" s="1081"/>
      <c r="N111" s="1082"/>
      <c r="O111" s="527"/>
      <c r="P111" s="527"/>
      <c r="Q111" s="677"/>
      <c r="R111" s="635"/>
    </row>
    <row r="112" ht="18">
      <c r="A112" s="1031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80"/>
      <c r="M112" s="1081"/>
      <c r="N112" s="1082"/>
      <c r="O112" s="527"/>
      <c r="P112" s="527"/>
      <c r="Q112" s="677"/>
      <c r="R112" s="635"/>
    </row>
    <row r="113" ht="18">
      <c r="A113" s="1031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83" t="str">
        <f>IF('[2]Cutting Ro-1'!Q139=1,"Τηλεχειρισμος",IF('[2]Cutting Ro-1'!Q139=2,"-------","Διακοπτης"))</f>
        <v>Διακοπτης</v>
      </c>
      <c r="M113" s="1084"/>
      <c r="N113" s="1085"/>
      <c r="O113" s="527"/>
      <c r="P113" s="527"/>
      <c r="Q113" s="677"/>
      <c r="R113" s="635"/>
    </row>
    <row r="114" ht="18">
      <c r="A114" s="1031"/>
      <c r="B114" s="691" t="s">
        <v>347</v>
      </c>
      <c r="C114" s="1070" t="s">
        <v>348</v>
      </c>
      <c r="D114" s="1071"/>
      <c r="E114" s="1073" t="s">
        <v>349</v>
      </c>
      <c r="F114" s="1074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31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31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31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31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31"/>
      <c r="B119" s="691"/>
      <c r="C119" s="691"/>
      <c r="D119" s="1063" t="s">
        <v>353</v>
      </c>
      <c r="E119" s="1063"/>
      <c r="F119" s="1063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31"/>
      <c r="B120" s="1063" t="s">
        <v>355</v>
      </c>
      <c r="C120" s="1063"/>
      <c r="D120" s="1063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31"/>
      <c r="B121" s="1070" t="s">
        <v>356</v>
      </c>
      <c r="C121" s="1071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31"/>
      <c r="B122" s="1070" t="s">
        <v>357</v>
      </c>
      <c r="C122" s="1071"/>
      <c r="D122" s="697">
        <f>C217</f>
        <v>12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31"/>
      <c r="B123" s="1070" t="s">
        <v>358</v>
      </c>
      <c r="C123" s="1071"/>
      <c r="D123" s="697">
        <f>D122/D121</f>
        <v>4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31"/>
      <c r="B124" s="1070" t="s">
        <v>359</v>
      </c>
      <c r="C124" s="1071"/>
      <c r="D124" s="1073">
        <v>20</v>
      </c>
      <c r="E124" s="1074"/>
      <c r="F124" s="1070" t="s">
        <v>360</v>
      </c>
      <c r="G124" s="1071"/>
      <c r="H124" s="1071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31"/>
      <c r="B125" s="1070" t="s">
        <v>361</v>
      </c>
      <c r="C125" s="1071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31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31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31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31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31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8</v>
      </c>
      <c r="I130" s="698">
        <f>IF(K142=3,H130,IF(K142=1,H130-2,IF(K142=2,H130-1,IF(K142=4,H130+1,IF(K142=5,H130+2)))))</f>
        <v>8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31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31"/>
      <c r="B132" s="691"/>
      <c r="C132" s="691"/>
      <c r="D132" s="691"/>
      <c r="E132" s="691"/>
      <c r="F132" s="691"/>
      <c r="G132" s="691"/>
      <c r="H132" s="698">
        <f>IF(I130=2,2,I130+1)</f>
        <v>9</v>
      </c>
      <c r="I132" s="698">
        <f>IF(M148=6,0,IF(M148=1,-5,IF(M148=2,-4,IF(M148=3,-3,IF(M148=4,-2,IF(M148=5,-1,IF(M148=7,1,IF(M148=8,2,IF(M148=9,3,IF(M148=10,4,IF(M148=11,5,)))))))))))+H132</f>
        <v>9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31"/>
      <c r="B133" s="691" t="s">
        <v>347</v>
      </c>
      <c r="C133" s="691"/>
      <c r="D133" s="691"/>
      <c r="E133" s="691"/>
      <c r="F133" s="691"/>
      <c r="G133" s="691"/>
      <c r="H133" s="698">
        <f>H130</f>
        <v>8</v>
      </c>
      <c r="I133" s="698">
        <f>IF(N142=3,H133,IF(N142=1,H133-2,IF(N142=2,H133-1,IF(N142=4,H133+1,IF(N142=5,H133+2)))))</f>
        <v>8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31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31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88" t="s">
        <v>519</v>
      </c>
      <c r="L135" s="1089"/>
      <c r="M135" s="1089"/>
      <c r="N135" s="1090"/>
      <c r="O135" s="701" t="s">
        <v>520</v>
      </c>
      <c r="P135" s="701" t="s">
        <v>352</v>
      </c>
      <c r="Q135" s="701" t="s">
        <v>521</v>
      </c>
      <c r="R135" s="635"/>
    </row>
    <row r="136">
      <c r="A136" s="1031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31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31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31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31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31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31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31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31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31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31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31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31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31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31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31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91" t="s">
        <v>555</v>
      </c>
      <c r="E151" s="1092"/>
      <c r="F151" s="1092"/>
      <c r="G151" s="1093"/>
      <c r="H151" s="705"/>
      <c r="I151" s="705"/>
      <c r="J151" s="1094" t="s">
        <v>556</v>
      </c>
      <c r="K151" s="1095"/>
      <c r="L151" s="1095"/>
      <c r="M151" s="1095"/>
      <c r="N151" s="1095"/>
      <c r="O151" s="1095"/>
      <c r="P151" s="1095"/>
      <c r="Q151" s="1096"/>
      <c r="R151" s="635"/>
    </row>
    <row r="152">
      <c r="A152" s="1031"/>
      <c r="B152" s="716" t="s">
        <v>557</v>
      </c>
      <c r="C152" s="717" t="str">
        <f>D110</f>
        <v>600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31"/>
      <c r="B153" s="722" t="s">
        <v>559</v>
      </c>
      <c r="C153" s="723" t="str">
        <f>G242</f>
        <v>350</v>
      </c>
      <c r="D153" s="708">
        <f>IF(C152&gt;2400,8,IF(C152&gt;2000,7,IF(C152&gt;1600,6,IF(C152&gt;1200,5,IF(C152&gt;800,4,IF(C152&gt;400,3,2))))))</f>
        <v>8</v>
      </c>
      <c r="E153" s="708"/>
      <c r="F153" s="708"/>
      <c r="G153" s="711"/>
      <c r="H153" s="705"/>
      <c r="I153" s="705"/>
      <c r="J153" s="1097" t="s">
        <v>560</v>
      </c>
      <c r="K153" s="1098"/>
      <c r="L153" s="725" t="str">
        <f>C153</f>
        <v>350</v>
      </c>
      <c r="M153" s="725" t="s">
        <v>561</v>
      </c>
      <c r="N153" s="725">
        <f>INT((L153-4)/25)+1</f>
        <v>14</v>
      </c>
      <c r="O153" s="725"/>
      <c r="P153" s="725"/>
      <c r="Q153" s="726"/>
      <c r="R153" s="635"/>
    </row>
    <row r="154" ht="15">
      <c r="A154" s="1031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31"/>
      <c r="B155" s="1094" t="s">
        <v>562</v>
      </c>
      <c r="C155" s="1095"/>
      <c r="D155" s="1095"/>
      <c r="E155" s="1095"/>
      <c r="F155" s="1095"/>
      <c r="G155" s="1095"/>
      <c r="H155" s="1095"/>
      <c r="I155" s="1096"/>
      <c r="J155" s="1094" t="s">
        <v>563</v>
      </c>
      <c r="K155" s="1095"/>
      <c r="L155" s="1095"/>
      <c r="M155" s="1095"/>
      <c r="N155" s="1095"/>
      <c r="O155" s="1095"/>
      <c r="P155" s="1095"/>
      <c r="Q155" s="1096"/>
      <c r="R155" s="635"/>
    </row>
    <row r="156">
      <c r="A156" s="1031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31"/>
      <c r="B157" s="1086" t="s">
        <v>560</v>
      </c>
      <c r="C157" s="1087"/>
      <c r="D157" s="720" t="str">
        <f>C153</f>
        <v>350</v>
      </c>
      <c r="E157" s="720" t="s">
        <v>564</v>
      </c>
      <c r="F157" s="720">
        <f>I160</f>
        <v>5</v>
      </c>
      <c r="G157" s="720"/>
      <c r="H157" s="720"/>
      <c r="I157" s="721"/>
      <c r="J157" s="1086" t="s">
        <v>560</v>
      </c>
      <c r="K157" s="1087"/>
      <c r="L157" s="720" t="str">
        <f>C153</f>
        <v>350</v>
      </c>
      <c r="M157" s="720" t="s">
        <v>564</v>
      </c>
      <c r="N157" s="720">
        <f>Q160</f>
        <v>4</v>
      </c>
      <c r="O157" s="720"/>
      <c r="P157" s="720"/>
      <c r="Q157" s="721"/>
      <c r="R157" s="635"/>
    </row>
    <row r="158">
      <c r="A158" s="1031"/>
      <c r="B158" s="1102" t="s">
        <v>564</v>
      </c>
      <c r="C158" s="1103"/>
      <c r="D158" s="1103"/>
      <c r="E158" s="720"/>
      <c r="F158" s="720"/>
      <c r="G158" s="729"/>
      <c r="H158" s="720"/>
      <c r="I158" s="721"/>
      <c r="J158" s="1102" t="s">
        <v>565</v>
      </c>
      <c r="K158" s="1103"/>
      <c r="L158" s="1103"/>
      <c r="M158" s="720"/>
      <c r="N158" s="720"/>
      <c r="O158" s="729"/>
      <c r="P158" s="720"/>
      <c r="Q158" s="721"/>
      <c r="R158" s="635"/>
    </row>
    <row r="159">
      <c r="A159" s="1031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31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4</v>
      </c>
      <c r="R160" s="635"/>
    </row>
    <row r="161">
      <c r="A161" s="1031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31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31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31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31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31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31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31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31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31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31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31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31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31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 t="str">
        <f>IF(D157&lt;E174,B174,IF(D157&lt;E175,B175,IF(D157&lt;E176,B176,IF(D157&lt;E177,B177,I178))))</f>
        <v>N/A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 t="str">
        <f>IF(L157&lt;M174,J174,IF(L157&lt;M175,J175,IF(L157&lt;M176,J176,IF(L157&lt;M177,J177,Q178))))</f>
        <v>N/A</v>
      </c>
      <c r="R174" s="635"/>
    </row>
    <row r="175">
      <c r="A175" s="1031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31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31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31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31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31"/>
      <c r="B180" s="1104" t="s">
        <v>574</v>
      </c>
      <c r="C180" s="1105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31"/>
      <c r="B181" s="1106"/>
      <c r="C181" s="1107"/>
      <c r="D181" s="738" t="s">
        <v>580</v>
      </c>
      <c r="E181" s="739" t="str">
        <f>F110</f>
        <v>350</v>
      </c>
      <c r="F181" s="739" t="str">
        <f>F110</f>
        <v>350</v>
      </c>
      <c r="G181" s="740" t="str">
        <f>F110</f>
        <v>350</v>
      </c>
      <c r="H181" s="739" t="str">
        <f>F110</f>
        <v>350</v>
      </c>
      <c r="I181" s="741" t="str">
        <f>F110</f>
        <v>350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31"/>
      <c r="B182" s="1106"/>
      <c r="C182" s="1107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31"/>
      <c r="B183" s="1106"/>
      <c r="C183" s="1107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31"/>
      <c r="B184" s="1106"/>
      <c r="C184" s="1107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31"/>
      <c r="B185" s="1106"/>
      <c r="C185" s="1107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 t="str">
        <f>IF(F142=1,F110,IF(F142=2E+185,IF(F142=3,F185,IF(F142=4,G185,IF(F142=5,H185,IF(F142=6,I185,"-----"))))))</f>
        <v>350</v>
      </c>
      <c r="M185" s="738">
        <f>IF(F142=1,F110-30,IF(F142=2,E186,IF(F142=3,F186,IF(F142=4,G186,IF(F142=5,H186,IF(F142=6,I186,"-----"))))))</f>
        <v>320</v>
      </c>
      <c r="N185" s="738"/>
      <c r="O185" s="738"/>
      <c r="P185" s="738"/>
      <c r="Q185" s="738"/>
      <c r="R185" s="635"/>
    </row>
    <row r="186">
      <c r="A186" s="1031"/>
      <c r="B186" s="1108"/>
      <c r="C186" s="1109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31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31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31"/>
      <c r="B189" s="1110" t="s">
        <v>588</v>
      </c>
      <c r="C189" s="1111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31"/>
      <c r="B190" s="1106"/>
      <c r="C190" s="1107"/>
      <c r="D190" s="738" t="s">
        <v>580</v>
      </c>
      <c r="E190" s="739" t="str">
        <f>F110</f>
        <v>350</v>
      </c>
      <c r="F190" s="739" t="str">
        <f>F110</f>
        <v>350</v>
      </c>
      <c r="G190" s="739" t="str">
        <f>F110</f>
        <v>350</v>
      </c>
      <c r="H190" s="739" t="str">
        <f>F110</f>
        <v>350</v>
      </c>
      <c r="I190" s="741" t="str">
        <f>F110</f>
        <v>350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31"/>
      <c r="B191" s="1106"/>
      <c r="C191" s="1107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31"/>
      <c r="B192" s="1106"/>
      <c r="C192" s="1107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31"/>
      <c r="B193" s="1106"/>
      <c r="C193" s="1107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 t="str">
        <f>IF(F142=1,F110,IF(F142=2,E194,IF(F142=3,F194,IF(F142=4,G194,IF(F142=5,H194,IF(F142=6,I194))))))</f>
        <v>350</v>
      </c>
      <c r="M193" s="738">
        <f>IF(F142=1,F110-30,IF(F142=2,E195,IF(F142=3,F195,IF(F142=4,G195,IF(F142=5,H195,IF(F142=6,I195))))))</f>
        <v>320</v>
      </c>
      <c r="N193" s="738"/>
      <c r="O193" s="738" t="s">
        <v>559</v>
      </c>
      <c r="P193" s="748" t="s">
        <v>589</v>
      </c>
      <c r="Q193" s="738"/>
      <c r="R193" s="635"/>
    </row>
    <row r="194">
      <c r="A194" s="1031"/>
      <c r="B194" s="1106"/>
      <c r="C194" s="1107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 t="str">
        <f>IF(B141=1,L185,IF(B141=3,L185,IF(B141=4,L202,IF(B141=2,L202,IF(B141=5,L193,"------")))))</f>
        <v>350</v>
      </c>
      <c r="P194" s="748">
        <f>IF(B141=1,M185,IF(B141=3,M185,IF(B141=4,M202,IF(B141=2,M202+2,IF(B141=5,M193,"------")))))</f>
        <v>322</v>
      </c>
      <c r="Q194" s="738"/>
      <c r="R194" s="635"/>
    </row>
    <row r="195">
      <c r="A195" s="1031"/>
      <c r="B195" s="1108"/>
      <c r="C195" s="1109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31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31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31"/>
      <c r="B198" s="1110" t="s">
        <v>590</v>
      </c>
      <c r="C198" s="1111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31"/>
      <c r="B199" s="1106"/>
      <c r="C199" s="1107"/>
      <c r="D199" s="738" t="s">
        <v>580</v>
      </c>
      <c r="E199" s="739" t="str">
        <f>F110</f>
        <v>350</v>
      </c>
      <c r="F199" s="739" t="str">
        <f>F110</f>
        <v>350</v>
      </c>
      <c r="G199" s="739" t="str">
        <f>F110</f>
        <v>350</v>
      </c>
      <c r="H199" s="739" t="str">
        <f>F110</f>
        <v>350</v>
      </c>
      <c r="I199" s="741" t="str">
        <f>F110</f>
        <v>350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31"/>
      <c r="B200" s="1106"/>
      <c r="C200" s="1107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31"/>
      <c r="B201" s="1106"/>
      <c r="C201" s="1107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31"/>
      <c r="B202" s="1106"/>
      <c r="C202" s="1107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 t="str">
        <f>IF(F142=1,F110,IF(F142=2,E203,IF(F142=3,F203,IF(F142=4,G203,IF(F142=5,H203,IF(F142=6,I203))))))</f>
        <v>350</v>
      </c>
      <c r="M202" s="738">
        <f>IF(F142=1,F110-30,IF(F142=2,E204,IF(F142=3,F204,IF(F142=4,G204,IF(F142=5,H204,IF(F142=6,I204))))))</f>
        <v>320</v>
      </c>
      <c r="N202" s="738"/>
      <c r="O202" s="738"/>
      <c r="P202" s="738"/>
      <c r="Q202" s="738"/>
      <c r="R202" s="635"/>
    </row>
    <row r="203">
      <c r="A203" s="1031"/>
      <c r="B203" s="1106"/>
      <c r="C203" s="1107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31"/>
      <c r="B204" s="1112"/>
      <c r="C204" s="1113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31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31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31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31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31"/>
      <c r="B209" s="756" t="s">
        <v>593</v>
      </c>
      <c r="C209" s="760" t="str">
        <f>D110</f>
        <v>600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31"/>
      <c r="B210" s="756" t="s">
        <v>583</v>
      </c>
      <c r="C210" s="760" t="str">
        <f>F110</f>
        <v>350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31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31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31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31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31"/>
      <c r="B215" s="762" t="s">
        <v>595</v>
      </c>
      <c r="C215" s="763">
        <f>(((C209-(D125*2))/200)+1)*C214</f>
        <v>10.5</v>
      </c>
      <c r="D215" s="1099" t="s">
        <v>596</v>
      </c>
      <c r="E215" s="1099"/>
      <c r="F215" s="764">
        <f>ROUND(C215,0)</f>
        <v>11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31"/>
      <c r="B216" s="762" t="s">
        <v>597</v>
      </c>
      <c r="C216" s="763">
        <f>F215/C214</f>
        <v>3.6666666666666665</v>
      </c>
      <c r="D216" s="1099" t="s">
        <v>596</v>
      </c>
      <c r="E216" s="1099"/>
      <c r="F216" s="764">
        <f>ROUND(C216,0)</f>
        <v>4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31"/>
      <c r="B217" s="762" t="s">
        <v>598</v>
      </c>
      <c r="C217" s="764">
        <f>F216*C214</f>
        <v>12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31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31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31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31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31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31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31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31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31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31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31"/>
      <c r="B228" s="772" t="str">
        <f>IF(B141=1,B136,IF(B141=2,B137,IF(B141=3,B138,IF(B141=4,B139,IF(B141=5,B140)))))</f>
        <v>EVO 150X70</v>
      </c>
      <c r="C228" s="773" t="str">
        <f>F110</f>
        <v>350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31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31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31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31"/>
      <c r="B232" s="772" t="s">
        <v>600</v>
      </c>
      <c r="C232" s="774"/>
      <c r="D232" s="774">
        <f>IF(O142=1,C228-32,IF(O142=2,C228-43,"-------"))</f>
        <v>318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31"/>
      <c r="B233" s="772" t="s">
        <v>601</v>
      </c>
      <c r="C233" s="774"/>
      <c r="D233" s="774">
        <f>IF(O142=1,C228-35,IF(O142=3,C228-36,IF(O142=4,C228-32,"-------")))</f>
        <v>315</v>
      </c>
      <c r="E233" s="774"/>
      <c r="F233" s="774"/>
      <c r="G233" s="774"/>
      <c r="H233" s="774"/>
      <c r="I233" s="1100" t="s">
        <v>602</v>
      </c>
      <c r="J233" s="1100"/>
      <c r="K233" s="1100"/>
      <c r="L233" s="1101"/>
      <c r="M233" s="527"/>
      <c r="N233" s="527"/>
      <c r="O233" s="527"/>
      <c r="P233" s="527"/>
      <c r="Q233" s="677"/>
      <c r="R233" s="635"/>
    </row>
    <row r="234" ht="18">
      <c r="A234" s="1031"/>
      <c r="B234" s="772" t="s">
        <v>603</v>
      </c>
      <c r="C234" s="774"/>
      <c r="D234" s="774">
        <f>IF(O142=1,C228-32,"-------")</f>
        <v>318</v>
      </c>
      <c r="E234" s="774"/>
      <c r="F234" s="774"/>
      <c r="G234" s="774">
        <f>IF(B141=1,D232,IF(B141=2,D233,IF(B141=3,D234,IF(B141=4,D235,IF(B141=5,D236)))))</f>
        <v>315</v>
      </c>
      <c r="H234" s="774"/>
      <c r="I234" s="1100"/>
      <c r="J234" s="1100"/>
      <c r="K234" s="1100"/>
      <c r="L234" s="1101"/>
      <c r="M234" s="527"/>
      <c r="N234" s="527"/>
      <c r="O234" s="527"/>
      <c r="P234" s="527"/>
      <c r="Q234" s="677"/>
      <c r="R234" s="635"/>
    </row>
    <row r="235" ht="18">
      <c r="A235" s="1031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100"/>
      <c r="J235" s="1100"/>
      <c r="K235" s="1100"/>
      <c r="L235" s="1101"/>
      <c r="M235" s="527"/>
      <c r="N235" s="527"/>
      <c r="O235" s="527"/>
      <c r="P235" s="527"/>
      <c r="Q235" s="677"/>
      <c r="R235" s="635"/>
    </row>
    <row r="236" ht="18">
      <c r="A236" s="1031"/>
      <c r="B236" s="772" t="s">
        <v>605</v>
      </c>
      <c r="C236" s="774"/>
      <c r="D236" s="774">
        <f>C228-32</f>
        <v>318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31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31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31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31"/>
      <c r="B240" s="772" t="s">
        <v>600</v>
      </c>
      <c r="C240" s="774"/>
      <c r="D240" s="774" t="str">
        <f>IF(O142=1,C228,IF(O142=2,C228-11,"-------"))</f>
        <v>350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31"/>
      <c r="B241" s="772" t="s">
        <v>601</v>
      </c>
      <c r="C241" s="774"/>
      <c r="D241" s="774" t="str">
        <f>IF(O142=3,C228-5,IF(O142=1,C228,IF(O142=4,C228,"-------")))</f>
        <v>350</v>
      </c>
      <c r="E241" s="774"/>
      <c r="F241" s="774"/>
      <c r="G241" s="774"/>
      <c r="H241" s="774"/>
      <c r="I241" s="1100" t="s">
        <v>606</v>
      </c>
      <c r="J241" s="1100"/>
      <c r="K241" s="1100"/>
      <c r="L241" s="1101"/>
      <c r="M241" s="527"/>
      <c r="N241" s="527"/>
      <c r="O241" s="527"/>
      <c r="P241" s="527"/>
      <c r="Q241" s="677"/>
      <c r="R241" s="635"/>
    </row>
    <row r="242" ht="18">
      <c r="A242" s="1031"/>
      <c r="B242" s="772" t="s">
        <v>603</v>
      </c>
      <c r="C242" s="774"/>
      <c r="D242" s="774" t="str">
        <f>IF(O142=1,C228,"-------")</f>
        <v>350</v>
      </c>
      <c r="E242" s="774"/>
      <c r="F242" s="774"/>
      <c r="G242" s="774" t="str">
        <f>IF(B141=1,D240,IF(B141=2,D241,IF(B141=3,D242,IF(B141=4,D243,IF(B141=5,#REF!)))))</f>
        <v>350</v>
      </c>
      <c r="H242" s="774"/>
      <c r="I242" s="1100"/>
      <c r="J242" s="1100"/>
      <c r="K242" s="1100"/>
      <c r="L242" s="1101"/>
      <c r="M242" s="527"/>
      <c r="N242" s="527"/>
      <c r="O242" s="527"/>
      <c r="P242" s="527"/>
      <c r="Q242" s="677"/>
      <c r="R242" s="635"/>
    </row>
    <row r="243" ht="18">
      <c r="A243" s="1031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100"/>
      <c r="J243" s="1100"/>
      <c r="K243" s="1100"/>
      <c r="L243" s="1101"/>
      <c r="M243" s="527"/>
      <c r="N243" s="527"/>
      <c r="O243" s="527"/>
      <c r="P243" s="527"/>
      <c r="Q243" s="677"/>
      <c r="R243" s="635"/>
    </row>
    <row r="244" ht="18">
      <c r="A244" s="1031"/>
      <c r="B244" s="772" t="s">
        <v>605</v>
      </c>
      <c r="C244" s="774"/>
      <c r="D244" s="774" t="str">
        <f>C228</f>
        <v>350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31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24"/>
      <c r="B246" s="1024"/>
      <c r="C246" s="1024"/>
      <c r="D246" s="1024"/>
      <c r="E246" s="1024"/>
      <c r="F246" s="1024"/>
      <c r="G246" s="1024"/>
      <c r="H246" s="1024"/>
      <c r="I246" s="1024"/>
      <c r="J246" s="1024"/>
      <c r="K246" s="1024"/>
      <c r="L246" s="1024"/>
      <c r="M246" s="1024"/>
      <c r="N246" s="1024"/>
      <c r="O246" s="1024"/>
      <c r="P246" s="1024"/>
      <c r="Q246" s="1024"/>
      <c r="R246" s="635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4</xdr:col>
                    <xdr:colOff>923925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4</xdr:col>
                    <xdr:colOff>923925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4</xdr:col>
                    <xdr:colOff>923925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4</xdr:col>
                    <xdr:colOff>923925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4</xdr:col>
                    <xdr:colOff>923925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4</xdr:col>
                    <xdr:colOff>923925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4</xdr:col>
                    <xdr:colOff>923925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26" t="s">
        <v>336</v>
      </c>
      <c r="K1" s="926"/>
      <c r="L1" s="926"/>
      <c r="M1" s="926"/>
      <c r="N1" s="926"/>
      <c r="O1" s="926"/>
      <c r="P1" s="926"/>
      <c r="Q1" s="926"/>
      <c r="R1" s="926"/>
      <c r="S1" s="926"/>
    </row>
    <row r="2" ht="18" customHeight="1">
      <c r="A2" s="11" t="s">
        <v>337</v>
      </c>
      <c r="B2" s="919">
        <f>Royal!C3</f>
        <v>0</v>
      </c>
      <c r="C2" s="920"/>
      <c r="D2" s="920"/>
      <c r="E2" s="920"/>
      <c r="F2" s="921"/>
      <c r="G2" s="1">
        <v>2</v>
      </c>
      <c r="J2" s="926"/>
      <c r="K2" s="926"/>
      <c r="L2" s="926"/>
      <c r="M2" s="926"/>
      <c r="N2" s="926"/>
      <c r="O2" s="926"/>
      <c r="P2" s="926"/>
      <c r="Q2" s="926"/>
      <c r="R2" s="926"/>
      <c r="S2" s="926"/>
    </row>
    <row r="3" ht="18" customHeight="1">
      <c r="A3" s="11" t="s">
        <v>338</v>
      </c>
      <c r="F3" s="918" t="s">
        <v>339</v>
      </c>
      <c r="G3" s="918"/>
    </row>
    <row r="4" ht="18" customHeight="1">
      <c r="A4" s="11" t="s">
        <v>340</v>
      </c>
      <c r="F4" s="922" t="s">
        <v>341</v>
      </c>
      <c r="G4" s="923"/>
      <c r="H4" s="923"/>
      <c r="I4" s="924"/>
      <c r="J4" s="10"/>
    </row>
    <row r="5" ht="18" customHeight="1">
      <c r="A5" s="11" t="s">
        <v>342</v>
      </c>
      <c r="F5" s="925" t="s">
        <v>343</v>
      </c>
      <c r="G5" s="916"/>
      <c r="H5" s="916"/>
      <c r="I5" s="917"/>
      <c r="J5" s="10"/>
    </row>
    <row r="6" ht="18" customHeight="1">
      <c r="A6" s="11" t="s">
        <v>344</v>
      </c>
      <c r="Q6" s="910"/>
      <c r="R6" s="910"/>
      <c r="S6" s="91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05" t="s">
        <v>348</v>
      </c>
      <c r="C11" s="906"/>
      <c r="D11" s="916" t="s">
        <v>349</v>
      </c>
      <c r="E11" s="917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0"/>
      <c r="R15" s="910"/>
      <c r="S15" s="910"/>
    </row>
    <row r="16" ht="18" customHeight="1">
      <c r="C16" s="918" t="s">
        <v>353</v>
      </c>
      <c r="D16" s="918"/>
      <c r="E16" s="918"/>
      <c r="F16" s="1" t="s">
        <v>354</v>
      </c>
    </row>
    <row r="17" ht="18" customHeight="1">
      <c r="A17" s="918" t="s">
        <v>355</v>
      </c>
      <c r="B17" s="918"/>
      <c r="C17" s="918"/>
    </row>
    <row r="18" ht="18" customHeight="1">
      <c r="A18" s="907" t="s">
        <v>356</v>
      </c>
      <c r="B18" s="908"/>
      <c r="C18" s="14">
        <f>'Format Φωτισμου (2)'!B9</f>
        <v>3</v>
      </c>
    </row>
    <row r="19" ht="18" customHeight="1">
      <c r="A19" s="907" t="s">
        <v>357</v>
      </c>
      <c r="B19" s="908"/>
      <c r="C19" s="14">
        <f>'Format Φωτισμου (2)'!B12</f>
        <v>9</v>
      </c>
    </row>
    <row r="20" ht="18" customHeight="1">
      <c r="A20" s="907" t="s">
        <v>358</v>
      </c>
      <c r="B20" s="908"/>
      <c r="C20" s="14">
        <f>C19/C18</f>
        <v>3</v>
      </c>
    </row>
    <row r="21" ht="18" customHeight="1">
      <c r="A21" s="912" t="s">
        <v>359</v>
      </c>
      <c r="B21" s="913"/>
      <c r="C21" s="914">
        <v>20</v>
      </c>
      <c r="D21" s="915"/>
      <c r="E21" s="905" t="s">
        <v>360</v>
      </c>
      <c r="F21" s="906"/>
      <c r="G21" s="906"/>
      <c r="H21" s="14">
        <f>C21/C18</f>
        <v>6.666666666666667</v>
      </c>
      <c r="J21" s="911"/>
      <c r="K21" s="911"/>
      <c r="L21" s="911"/>
      <c r="M21" s="911"/>
      <c r="N21" s="911"/>
      <c r="O21" s="911"/>
      <c r="P21" s="911"/>
      <c r="Q21" s="911"/>
      <c r="R21" s="911"/>
      <c r="S21" s="911"/>
    </row>
    <row r="22" ht="18" customHeight="1">
      <c r="A22" s="907" t="s">
        <v>361</v>
      </c>
      <c r="B22" s="908"/>
      <c r="C22" s="179">
        <v>50</v>
      </c>
      <c r="D22" s="184" t="s">
        <v>362</v>
      </c>
      <c r="J22" s="911"/>
      <c r="K22" s="911"/>
      <c r="L22" s="911"/>
      <c r="M22" s="911"/>
      <c r="N22" s="911"/>
      <c r="O22" s="911"/>
      <c r="P22" s="911"/>
      <c r="Q22" s="911"/>
      <c r="R22" s="911"/>
      <c r="S22" s="911"/>
    </row>
    <row r="23" ht="18" customHeight="1">
      <c r="J23" s="911"/>
      <c r="K23" s="911"/>
      <c r="L23" s="911"/>
      <c r="M23" s="911"/>
      <c r="N23" s="911"/>
      <c r="O23" s="911"/>
      <c r="P23" s="911"/>
      <c r="Q23" s="911"/>
      <c r="R23" s="911"/>
      <c r="S23" s="911"/>
    </row>
    <row r="24" ht="18" customHeight="1"/>
    <row r="25" ht="18" customHeight="1">
      <c r="A25" s="11" t="s">
        <v>363</v>
      </c>
      <c r="J25" s="909"/>
      <c r="K25" s="909"/>
      <c r="L25" s="909"/>
      <c r="M25" s="909"/>
      <c r="N25" s="909"/>
      <c r="O25" s="909"/>
      <c r="P25" s="909"/>
      <c r="Q25" s="909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10"/>
      <c r="K27" s="910"/>
      <c r="L27" s="910"/>
      <c r="M27" s="910"/>
      <c r="N27" s="910"/>
      <c r="O27" s="910"/>
      <c r="P27" s="910"/>
      <c r="Q27" s="910"/>
      <c r="R27" s="910"/>
      <c r="S27" s="910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1005" t="s">
        <v>607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7"/>
      <c r="O1" s="87"/>
      <c r="P1" s="88"/>
      <c r="Q1" s="88"/>
      <c r="R1" s="88"/>
      <c r="W1" s="136">
        <f>IF(تسعير!T26="سادة",Royal2!J2+20000,IF(تسعير!T26="خشبي",Royal2!J2+40000,0))</f>
        <v>350000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20" t="s">
        <v>337</v>
      </c>
      <c r="B3" s="1020"/>
      <c r="C3" s="1020"/>
      <c r="D3" s="1022">
        <f>تسجيل1!B2</f>
        <v>0</v>
      </c>
      <c r="E3" s="1022"/>
      <c r="F3" s="1022"/>
      <c r="G3" s="1022"/>
      <c r="H3" s="1022"/>
      <c r="I3" s="1022"/>
      <c r="J3" s="1022"/>
      <c r="K3" s="1022"/>
      <c r="L3" s="1022"/>
      <c r="M3" s="1008" t="s">
        <v>371</v>
      </c>
      <c r="N3" s="1008"/>
      <c r="O3" s="89"/>
      <c r="P3" s="90"/>
      <c r="Q3" s="90"/>
      <c r="R3" s="90"/>
      <c r="Z3" s="151"/>
      <c r="AA3" s="60"/>
      <c r="AB3" s="60"/>
    </row>
    <row r="4" ht="13.5" customHeight="1">
      <c r="A4" s="1021"/>
      <c r="B4" s="1021"/>
      <c r="C4" s="1021"/>
      <c r="D4" s="1023"/>
      <c r="E4" s="1023"/>
      <c r="F4" s="1023"/>
      <c r="G4" s="1022"/>
      <c r="H4" s="1022"/>
      <c r="I4" s="1023"/>
      <c r="J4" s="1023"/>
      <c r="K4" s="1023"/>
      <c r="L4" s="1023"/>
      <c r="M4" s="1009"/>
      <c r="N4" s="1009"/>
      <c r="O4" s="91"/>
      <c r="P4" s="92"/>
      <c r="Q4" s="92"/>
      <c r="R4" s="92"/>
      <c r="Z4" s="151"/>
      <c r="AA4" s="60"/>
      <c r="AB4" s="60"/>
    </row>
    <row r="5" ht="13.5" customHeight="1">
      <c r="A5" s="1010" t="e">
        <f>Y1</f>
        <v>#REF!</v>
      </c>
      <c r="B5" s="1011"/>
      <c r="C5" s="1012"/>
      <c r="D5" s="1013" t="s">
        <v>370</v>
      </c>
      <c r="E5" s="1014"/>
      <c r="F5" s="1015"/>
      <c r="G5" s="63"/>
      <c r="H5" s="63"/>
      <c r="I5" s="1010">
        <f>W1</f>
        <v>350000</v>
      </c>
      <c r="J5" s="1011"/>
      <c r="K5" s="1012"/>
      <c r="L5" s="1013" t="s">
        <v>372</v>
      </c>
      <c r="M5" s="1014"/>
      <c r="N5" s="1015"/>
      <c r="O5" s="93"/>
      <c r="P5" s="92"/>
      <c r="Q5" s="92"/>
      <c r="R5" s="92"/>
      <c r="Z5" s="151"/>
      <c r="AA5" s="60"/>
      <c r="AB5" s="60"/>
    </row>
    <row r="6" ht="16.5" customHeight="1">
      <c r="A6" s="952" t="s">
        <v>373</v>
      </c>
      <c r="B6" s="953"/>
      <c r="C6" s="954"/>
      <c r="D6" s="946" t="s">
        <v>374</v>
      </c>
      <c r="E6" s="1016" t="s">
        <v>344</v>
      </c>
      <c r="F6" s="1017"/>
      <c r="G6" s="989"/>
      <c r="H6" s="989"/>
      <c r="I6" s="1017"/>
      <c r="J6" s="1018"/>
      <c r="K6" s="1019">
        <f>تسجيل2!C7</f>
        <v>400</v>
      </c>
      <c r="L6" s="1019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52"/>
      <c r="B7" s="953"/>
      <c r="C7" s="954"/>
      <c r="D7" s="946"/>
      <c r="E7" s="988" t="s">
        <v>376</v>
      </c>
      <c r="F7" s="989"/>
      <c r="G7" s="989"/>
      <c r="H7" s="989"/>
      <c r="I7" s="989"/>
      <c r="J7" s="990"/>
      <c r="K7" s="991">
        <f>K6*N6/10000</f>
        <v>16</v>
      </c>
      <c r="L7" s="991"/>
      <c r="M7" s="991"/>
      <c r="N7" s="98" t="s">
        <v>377</v>
      </c>
      <c r="O7" s="99">
        <f>AA41/K7</f>
        <v>3178.8808376392371</v>
      </c>
      <c r="S7" s="60" t="s">
        <v>127</v>
      </c>
      <c r="T7" s="61" t="s">
        <v>378</v>
      </c>
      <c r="Z7" s="151"/>
      <c r="AA7" s="60"/>
      <c r="AB7" s="60"/>
    </row>
    <row r="8">
      <c r="A8" s="955"/>
      <c r="B8" s="956"/>
      <c r="C8" s="957"/>
      <c r="D8" s="947"/>
      <c r="E8" s="992" t="s">
        <v>379</v>
      </c>
      <c r="F8" s="993"/>
      <c r="G8" s="993"/>
      <c r="H8" s="993"/>
      <c r="I8" s="993"/>
      <c r="J8" s="994"/>
      <c r="K8" s="995">
        <f>K6-1</f>
        <v>399</v>
      </c>
      <c r="L8" s="995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50862.093402227794</v>
      </c>
      <c r="P8" s="103"/>
      <c r="Q8" s="103"/>
      <c r="R8" s="103"/>
      <c r="S8" s="103">
        <f>IF((تسعير!U31=Sheet2!A6),Sheet2!B16,Sheet2!B58)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96" t="s">
        <v>381</v>
      </c>
      <c r="B10" s="996"/>
      <c r="C10" s="996"/>
      <c r="D10" s="996"/>
      <c r="E10" s="996"/>
      <c r="F10" s="996"/>
      <c r="G10" s="997" t="s">
        <v>324</v>
      </c>
      <c r="H10" s="997"/>
      <c r="I10" s="997" t="s">
        <v>382</v>
      </c>
      <c r="J10" s="997"/>
      <c r="K10" s="104"/>
      <c r="L10" s="998" t="s">
        <v>366</v>
      </c>
      <c r="M10" s="998"/>
      <c r="N10" s="998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99" t="s">
        <v>389</v>
      </c>
      <c r="B11" s="1000"/>
      <c r="C11" s="1000"/>
      <c r="D11" s="1000"/>
      <c r="E11" s="1000"/>
      <c r="F11" s="1001"/>
      <c r="G11" s="1002">
        <f>L11</f>
        <v>2</v>
      </c>
      <c r="H11" s="1002"/>
      <c r="I11" s="1003">
        <f>'Format διαστασης οδηγου (2)'!F8</f>
        <v>365</v>
      </c>
      <c r="J11" s="1003"/>
      <c r="K11" s="106"/>
      <c r="L11" s="998">
        <f>IF((تسعير!U31=Sheet2!A6),2,IF(Format!A7=1,تسجيل2!H27,IF(Format!A7=2,تسجيل2!H27,IF(Format!A7=3,تسجيل2!H27,IF(Format!A7=4,تسجيل2!H27,IF(Format!A7=5,تسجيل2!H27,"-------"))))))</f>
        <v>2</v>
      </c>
      <c r="M11" s="998"/>
      <c r="N11" s="99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11697.727272727283</v>
      </c>
      <c r="Z11" s="151"/>
      <c r="AA11" s="60"/>
      <c r="AB11" s="60"/>
    </row>
    <row r="12" ht="20.1" customHeight="1">
      <c r="A12" s="976" t="s">
        <v>390</v>
      </c>
      <c r="B12" s="976"/>
      <c r="C12" s="976"/>
      <c r="D12" s="976"/>
      <c r="E12" s="976"/>
      <c r="F12" s="976"/>
      <c r="G12" s="977">
        <f>IF(L11&gt;2,4,IF(L11=2,2))</f>
        <v>2</v>
      </c>
      <c r="H12" s="977"/>
      <c r="I12" s="97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7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5218.6046511627837</v>
      </c>
      <c r="Z12" s="151"/>
      <c r="AA12" s="60"/>
      <c r="AB12" s="60"/>
    </row>
    <row r="13" ht="20.1" customHeight="1">
      <c r="A13" s="976" t="s">
        <v>391</v>
      </c>
      <c r="B13" s="976"/>
      <c r="C13" s="976"/>
      <c r="D13" s="976"/>
      <c r="E13" s="976"/>
      <c r="F13" s="976"/>
      <c r="G13" s="977" t="str">
        <f>IF(L11&lt;=3,"0",(L11-3)*2)</f>
        <v>0</v>
      </c>
      <c r="H13" s="977"/>
      <c r="I13" s="978">
        <f>IF(G13="-------","-------",L17-5)</f>
        <v>386</v>
      </c>
      <c r="J13" s="978"/>
      <c r="K13" s="106"/>
      <c r="L13" s="987" t="s">
        <v>392</v>
      </c>
      <c r="M13" s="987"/>
      <c r="N13" s="98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76" t="s">
        <v>393</v>
      </c>
      <c r="B14" s="976"/>
      <c r="C14" s="976"/>
      <c r="D14" s="976"/>
      <c r="E14" s="976"/>
      <c r="F14" s="976"/>
      <c r="G14" s="977">
        <f>IF(L11&gt;2,2*L14,IF(L11=2,L14))</f>
        <v>5</v>
      </c>
      <c r="H14" s="977"/>
      <c r="I14" s="978">
        <f>I12</f>
        <v>399</v>
      </c>
      <c r="J14" s="978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7362.06896551721</v>
      </c>
      <c r="Z14" s="151"/>
      <c r="AA14" s="60"/>
      <c r="AB14" s="60"/>
    </row>
    <row r="15" ht="20.1" customHeight="1">
      <c r="A15" s="976" t="s">
        <v>395</v>
      </c>
      <c r="B15" s="976"/>
      <c r="C15" s="976"/>
      <c r="D15" s="976"/>
      <c r="E15" s="976"/>
      <c r="F15" s="976"/>
      <c r="G15" s="977" t="str">
        <f>IF(L11&lt;=3,"0",(L11-3)*L14)</f>
        <v>0</v>
      </c>
      <c r="H15" s="977"/>
      <c r="I15" s="978">
        <f>IF(G15="-------","---------",I13)</f>
        <v>386</v>
      </c>
      <c r="J15" s="97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76" t="s">
        <v>396</v>
      </c>
      <c r="B16" s="976"/>
      <c r="C16" s="976"/>
      <c r="D16" s="976"/>
      <c r="E16" s="976"/>
      <c r="F16" s="976"/>
      <c r="G16" s="977">
        <v>1</v>
      </c>
      <c r="H16" s="977"/>
      <c r="I16" s="97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78"/>
      <c r="K16" s="106"/>
      <c r="L16" s="971" t="s">
        <v>397</v>
      </c>
      <c r="M16" s="971"/>
      <c r="N16" s="97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1952.82051282052</v>
      </c>
      <c r="Z16" s="151"/>
      <c r="AA16" s="60"/>
      <c r="AB16" s="60"/>
    </row>
    <row r="17" ht="20.1" customHeight="1">
      <c r="A17" s="976" t="s">
        <v>398</v>
      </c>
      <c r="B17" s="976"/>
      <c r="C17" s="976"/>
      <c r="D17" s="976"/>
      <c r="E17" s="976"/>
      <c r="F17" s="976"/>
      <c r="G17" s="977" t="str">
        <f>IF(L11=2,"0",1)</f>
        <v>0</v>
      </c>
      <c r="H17" s="977"/>
      <c r="I17" s="978">
        <f>IF(G17="-------","-------",IF(Format!A7=1,(L17+3),IF(Format!A7=2,(L17+3.5),IF(Format!A7=3,(L17+3),IF(Format!A7=4,(L17+4.25),IF(Format!A7=5,(L17+5),"--------"))))))</f>
        <v>394.5</v>
      </c>
      <c r="J17" s="978"/>
      <c r="K17" s="106"/>
      <c r="L17" s="986">
        <f>IF(Format!A7=1,(K6-2-6)/(L11-1),IF(Format!A7=2,(K6-2-7)/(L11-1),IF(Format!A7=3,(K6-2-6)/(L11-1),IF(Format!A7=4,(K6-2-8.5)/(L11-1),IF(Format!A7=5,(K6-2-10)/(L11-1),"--------")))))</f>
        <v>391</v>
      </c>
      <c r="M17" s="986"/>
      <c r="N17" s="98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76" t="s">
        <v>399</v>
      </c>
      <c r="B18" s="976"/>
      <c r="C18" s="976"/>
      <c r="D18" s="976"/>
      <c r="E18" s="976"/>
      <c r="F18" s="976"/>
      <c r="G18" s="977" t="str">
        <f>IF(L11&lt;=3,"0",(L11-3))</f>
        <v>0</v>
      </c>
      <c r="H18" s="977"/>
      <c r="I18" s="978">
        <f>IF(G18="-------","-------",L17)</f>
        <v>391</v>
      </c>
      <c r="J18" s="97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76" t="str">
        <f>IF(Format!H4=1,"Balloon","-------")</f>
        <v>-------</v>
      </c>
      <c r="B19" s="976"/>
      <c r="C19" s="976"/>
      <c r="D19" s="976"/>
      <c r="E19" s="976"/>
      <c r="F19" s="976"/>
      <c r="G19" s="977" t="str">
        <f>IF([1]Format!H4=1,'[1]تقطيع البرجولة'!L14,"0")</f>
        <v>0</v>
      </c>
      <c r="H19" s="977"/>
      <c r="I19" s="978">
        <f>IF(G19="-------","-------",K6-2.5)</f>
        <v>397.5</v>
      </c>
      <c r="J19" s="978"/>
      <c r="K19" s="106"/>
      <c r="L19" s="979" t="s">
        <v>347</v>
      </c>
      <c r="M19" s="980"/>
      <c r="N19" s="98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82" t="s">
        <v>400</v>
      </c>
      <c r="B20" s="983"/>
      <c r="C20" s="983"/>
      <c r="D20" s="983"/>
      <c r="E20" s="983"/>
      <c r="F20" s="984"/>
      <c r="G20" s="982">
        <f>(G12+G13)/2</f>
        <v>1</v>
      </c>
      <c r="H20" s="983"/>
      <c r="I20" s="978">
        <f>L17-7</f>
        <v>384</v>
      </c>
      <c r="J20" s="978"/>
      <c r="K20" s="106"/>
      <c r="L20" s="114" t="s">
        <v>324</v>
      </c>
      <c r="M20" s="985" t="s">
        <v>401</v>
      </c>
      <c r="N20" s="98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2310</v>
      </c>
      <c r="Z20" s="151"/>
      <c r="AA20" s="60"/>
      <c r="AB20" s="60"/>
    </row>
    <row r="21" ht="20.1" customHeight="1">
      <c r="A21" s="968" t="s">
        <v>402</v>
      </c>
      <c r="B21" s="968"/>
      <c r="C21" s="968"/>
      <c r="D21" s="968"/>
      <c r="E21" s="968"/>
      <c r="F21" s="968"/>
      <c r="G21" s="969">
        <f>L11</f>
        <v>2</v>
      </c>
      <c r="H21" s="969"/>
      <c r="I21" s="970">
        <f>(I11*2)+45</f>
        <v>775</v>
      </c>
      <c r="J21" s="970"/>
      <c r="K21" s="106"/>
      <c r="L21" s="112">
        <f>IF(Format!E7=1,"-------",IF(Format!E7=5,"-------",تسجيل2!H30))</f>
        <v>2</v>
      </c>
      <c r="M21" s="971" t="str">
        <f>IF(L21="-------","-------",تسجيل2!D11)</f>
        <v>4Χ220- 1Χ250</v>
      </c>
      <c r="N21" s="97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28943.721402227795</v>
      </c>
      <c r="Z22" s="151"/>
      <c r="AA22" s="60"/>
      <c r="AB22" s="60"/>
    </row>
    <row r="23" ht="20.1" customHeight="1">
      <c r="A23" s="972" t="s">
        <v>403</v>
      </c>
      <c r="B23" s="973"/>
      <c r="C23" s="973"/>
      <c r="D23" s="973"/>
      <c r="E23" s="974"/>
      <c r="F23" s="67" t="s">
        <v>404</v>
      </c>
      <c r="G23" s="68"/>
      <c r="H23" s="972" t="s">
        <v>405</v>
      </c>
      <c r="I23" s="973"/>
      <c r="J23" s="973"/>
      <c r="K23" s="973"/>
      <c r="L23" s="974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5" t="s">
        <v>410</v>
      </c>
      <c r="C24" s="975"/>
      <c r="D24" s="975"/>
      <c r="E24" s="975"/>
      <c r="F24" s="70">
        <f>L11</f>
        <v>2</v>
      </c>
      <c r="G24" s="71"/>
      <c r="H24" s="69">
        <v>16</v>
      </c>
      <c r="I24" s="975" t="s">
        <v>352</v>
      </c>
      <c r="J24" s="975"/>
      <c r="K24" s="975"/>
      <c r="L24" s="975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61" t="s">
        <v>411</v>
      </c>
      <c r="C25" s="961"/>
      <c r="D25" s="961"/>
      <c r="E25" s="961"/>
      <c r="F25" s="73">
        <f>L11</f>
        <v>2</v>
      </c>
      <c r="G25" s="71"/>
      <c r="H25" s="72">
        <v>17</v>
      </c>
      <c r="I25" s="961" t="s">
        <v>412</v>
      </c>
      <c r="J25" s="961"/>
      <c r="K25" s="961"/>
      <c r="L25" s="96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61" t="s">
        <v>413</v>
      </c>
      <c r="C26" s="961"/>
      <c r="D26" s="961"/>
      <c r="E26" s="961"/>
      <c r="F26" s="73">
        <f>M24</f>
        <v>1</v>
      </c>
      <c r="G26" s="71"/>
      <c r="H26" s="72">
        <v>18</v>
      </c>
      <c r="I26" s="961" t="s">
        <v>414</v>
      </c>
      <c r="J26" s="961"/>
      <c r="K26" s="961"/>
      <c r="L26" s="96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58" t="s">
        <v>415</v>
      </c>
      <c r="C27" s="959"/>
      <c r="D27" s="959"/>
      <c r="E27" s="960"/>
      <c r="F27" s="73">
        <v>4</v>
      </c>
      <c r="G27" s="71"/>
      <c r="H27" s="72">
        <v>19</v>
      </c>
      <c r="I27" s="961" t="s">
        <v>416</v>
      </c>
      <c r="J27" s="961"/>
      <c r="K27" s="961"/>
      <c r="L27" s="96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58" t="s">
        <v>417</v>
      </c>
      <c r="C28" s="959"/>
      <c r="D28" s="959"/>
      <c r="E28" s="960"/>
      <c r="F28" s="73">
        <f>L14</f>
        <v>5</v>
      </c>
      <c r="G28" s="71"/>
      <c r="H28" s="72">
        <v>20</v>
      </c>
      <c r="I28" s="961" t="s">
        <v>418</v>
      </c>
      <c r="J28" s="961"/>
      <c r="K28" s="961"/>
      <c r="L28" s="96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58" t="s">
        <v>419</v>
      </c>
      <c r="C29" s="959"/>
      <c r="D29" s="959"/>
      <c r="E29" s="960"/>
      <c r="F29" s="73">
        <f>L11*2</f>
        <v>4</v>
      </c>
      <c r="G29" s="71"/>
      <c r="H29" s="72">
        <v>21</v>
      </c>
      <c r="I29" s="961" t="s">
        <v>420</v>
      </c>
      <c r="J29" s="961"/>
      <c r="K29" s="961"/>
      <c r="L29" s="96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58" t="s">
        <v>421</v>
      </c>
      <c r="C30" s="959"/>
      <c r="D30" s="959"/>
      <c r="E30" s="960"/>
      <c r="F30" s="73">
        <f>L14*L11</f>
        <v>10</v>
      </c>
      <c r="G30" s="71"/>
      <c r="H30" s="72">
        <v>22</v>
      </c>
      <c r="I30" s="961" t="s">
        <v>422</v>
      </c>
      <c r="J30" s="961"/>
      <c r="K30" s="961"/>
      <c r="L30" s="96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58" t="s">
        <v>423</v>
      </c>
      <c r="C31" s="959"/>
      <c r="D31" s="959"/>
      <c r="E31" s="960"/>
      <c r="F31" s="73">
        <f>(L14+N14)*2</f>
        <v>14</v>
      </c>
      <c r="G31" s="71"/>
      <c r="H31" s="72">
        <v>23</v>
      </c>
      <c r="I31" s="961" t="s">
        <v>424</v>
      </c>
      <c r="J31" s="961"/>
      <c r="K31" s="961"/>
      <c r="L31" s="96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58" t="s">
        <v>425</v>
      </c>
      <c r="C32" s="959"/>
      <c r="D32" s="959"/>
      <c r="E32" s="960"/>
      <c r="F32" s="73">
        <f>(L14+N14)*2</f>
        <v>14</v>
      </c>
      <c r="G32" s="71"/>
      <c r="H32" s="72">
        <v>24</v>
      </c>
      <c r="I32" s="961" t="s">
        <v>426</v>
      </c>
      <c r="J32" s="961"/>
      <c r="K32" s="961"/>
      <c r="L32" s="96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58" t="s">
        <v>427</v>
      </c>
      <c r="C33" s="959"/>
      <c r="D33" s="959"/>
      <c r="E33" s="960"/>
      <c r="F33" s="73">
        <f>L11*3</f>
        <v>6</v>
      </c>
      <c r="G33" s="71"/>
      <c r="H33" s="72">
        <v>25</v>
      </c>
      <c r="I33" s="961" t="s">
        <v>428</v>
      </c>
      <c r="J33" s="961"/>
      <c r="K33" s="961"/>
      <c r="L33" s="96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58" t="s">
        <v>429</v>
      </c>
      <c r="C34" s="959"/>
      <c r="D34" s="959"/>
      <c r="E34" s="960"/>
      <c r="F34" s="73">
        <f>L11*3</f>
        <v>6</v>
      </c>
      <c r="G34" s="71"/>
      <c r="H34" s="72">
        <v>26</v>
      </c>
      <c r="I34" s="961" t="s">
        <v>430</v>
      </c>
      <c r="J34" s="961"/>
      <c r="K34" s="961"/>
      <c r="L34" s="96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58" t="s">
        <v>431</v>
      </c>
      <c r="C35" s="959"/>
      <c r="D35" s="959"/>
      <c r="E35" s="960"/>
      <c r="F35" s="73" t="str">
        <f>IF(L11&gt;2,(L11-2)*2,"0")</f>
        <v>0</v>
      </c>
      <c r="G35" s="74"/>
      <c r="H35" s="72">
        <v>27</v>
      </c>
      <c r="I35" s="961" t="s">
        <v>432</v>
      </c>
      <c r="J35" s="961"/>
      <c r="K35" s="961"/>
      <c r="L35" s="96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58" t="s">
        <v>433</v>
      </c>
      <c r="C36" s="959"/>
      <c r="D36" s="959"/>
      <c r="E36" s="960"/>
      <c r="F36" s="73" t="str">
        <f>IF(L11&gt;2,(L11-2)*L14,"0")</f>
        <v>0</v>
      </c>
      <c r="G36" s="74"/>
      <c r="H36" s="72">
        <v>28</v>
      </c>
      <c r="I36" s="961" t="s">
        <v>434</v>
      </c>
      <c r="J36" s="961"/>
      <c r="K36" s="961"/>
      <c r="L36" s="96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58" t="s">
        <v>435</v>
      </c>
      <c r="C37" s="959"/>
      <c r="D37" s="959"/>
      <c r="E37" s="960"/>
      <c r="F37" s="73">
        <f>M24</f>
        <v>1</v>
      </c>
      <c r="G37" s="74"/>
      <c r="H37" s="72">
        <v>29</v>
      </c>
      <c r="I37" s="961" t="s">
        <v>436</v>
      </c>
      <c r="J37" s="961"/>
      <c r="K37" s="961"/>
      <c r="L37" s="96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61" t="s">
        <v>437</v>
      </c>
      <c r="C38" s="961"/>
      <c r="D38" s="961"/>
      <c r="E38" s="961"/>
      <c r="F38" s="73">
        <f>تسجيل1!C21</f>
        <v>20</v>
      </c>
      <c r="G38" s="74"/>
      <c r="H38" s="72">
        <v>30</v>
      </c>
      <c r="I38" s="961" t="s">
        <v>438</v>
      </c>
      <c r="J38" s="961"/>
      <c r="K38" s="961"/>
      <c r="L38" s="961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48">
        <f>SUM(AA24:AB38)</f>
        <v>18356.1</v>
      </c>
      <c r="AB39" s="948"/>
    </row>
    <row r="40" ht="20.4" customHeight="1" s="58" customFormat="1">
      <c r="A40" s="962" t="s">
        <v>439</v>
      </c>
      <c r="B40" s="963"/>
      <c r="C40" s="96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48"/>
      <c r="AB40" s="948"/>
    </row>
    <row r="41" ht="18.75" customHeight="1" s="58" customFormat="1">
      <c r="A41" s="949" t="str">
        <f>IF(Format!I5=1,"-------",IF(Format!I5=2,Format!I3,Format!I4))</f>
        <v>صونفي </v>
      </c>
      <c r="B41" s="950"/>
      <c r="C41" s="951"/>
      <c r="D41" s="81"/>
      <c r="E41" s="81"/>
      <c r="F41" s="76"/>
      <c r="G41" s="68"/>
      <c r="H41" s="75"/>
      <c r="I41" s="81"/>
      <c r="J41" s="81"/>
      <c r="K41" s="81"/>
      <c r="L41" s="964" t="s">
        <v>340</v>
      </c>
      <c r="M41" s="965"/>
      <c r="N41" s="96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67">
        <f>AA39+X22+U8</f>
        <v>50862.093402227794</v>
      </c>
      <c r="AB41" s="967"/>
    </row>
    <row r="42" ht="13.95" customHeight="1" s="58" customFormat="1">
      <c r="A42" s="949"/>
      <c r="B42" s="950"/>
      <c r="C42" s="951"/>
      <c r="D42" s="10"/>
      <c r="E42" s="10"/>
      <c r="F42" s="10"/>
      <c r="G42" s="10"/>
      <c r="H42" s="10"/>
      <c r="I42" s="10"/>
      <c r="J42" s="10"/>
      <c r="K42" s="10"/>
      <c r="L42" s="927" t="str">
        <f>IF(Format!B5=1,Format!B2,IF(Format!B5=2,Format!B3,تسجيل1!F4))</f>
        <v>بيج  Ral 1013</v>
      </c>
      <c r="M42" s="928"/>
      <c r="N42" s="92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30" t="str">
        <f>IF(Format!P5=1,"Τηλεχειρισμος",IF(Format!P5=2,"-------","Διακοπτης"))</f>
        <v>Τηλεχειρισμος</v>
      </c>
      <c r="B43" s="931"/>
      <c r="C43" s="932"/>
      <c r="D43" s="10"/>
      <c r="E43" s="10"/>
      <c r="F43" s="10"/>
      <c r="G43" s="10"/>
      <c r="H43" s="10"/>
      <c r="I43" s="10"/>
      <c r="J43" s="10"/>
      <c r="K43" s="10"/>
      <c r="L43" s="933" t="s">
        <v>342</v>
      </c>
      <c r="M43" s="934"/>
      <c r="N43" s="93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36" t="str">
        <f>IF(Format!C8=1,Format!C2,IF(Format!C8=2,Format!C3,IF(Format!C8=3,Format!C4,IF(Format!C8=4,Format!C5,IF(Format!C8=5,Format!C6,تسجيل1!F5)))))</f>
        <v>بيج  Ral 1013</v>
      </c>
      <c r="M44" s="937"/>
      <c r="N44" s="93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39" t="str">
        <f>A3</f>
        <v>اسم العميل </v>
      </c>
      <c r="B96" s="940"/>
      <c r="C96" s="94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41">
        <f>N8</f>
        <v>372</v>
      </c>
      <c r="N97" s="94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43" t="str">
        <f>L44</f>
        <v>بيج  Ral 1013</v>
      </c>
      <c r="K98" s="944"/>
      <c r="L98" s="944"/>
      <c r="M98" s="944"/>
      <c r="N98" s="94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20" t="s">
        <v>519</v>
      </c>
      <c r="K1" s="1121"/>
      <c r="L1" s="1121"/>
      <c r="M1" s="1122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23" t="s">
        <v>555</v>
      </c>
      <c r="D17" s="1124"/>
      <c r="E17" s="1124"/>
      <c r="F17" s="1125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6" t="s">
        <v>562</v>
      </c>
      <c r="B29" s="1127"/>
      <c r="C29" s="1127"/>
      <c r="D29" s="1127"/>
      <c r="E29" s="1127"/>
      <c r="F29" s="1127"/>
      <c r="G29" s="1127"/>
      <c r="H29" s="1128"/>
      <c r="I29" s="1126" t="s">
        <v>563</v>
      </c>
      <c r="J29" s="1127"/>
      <c r="K29" s="1127"/>
      <c r="L29" s="1127"/>
      <c r="M29" s="1127"/>
      <c r="N29" s="1127"/>
      <c r="O29" s="1127"/>
      <c r="P29" s="1128"/>
      <c r="Q29" s="1126" t="s">
        <v>556</v>
      </c>
      <c r="R29" s="1127"/>
      <c r="S29" s="1127"/>
      <c r="T29" s="1127"/>
      <c r="U29" s="1127"/>
      <c r="V29" s="1127"/>
      <c r="W29" s="1127"/>
      <c r="X29" s="112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4" t="s">
        <v>560</v>
      </c>
      <c r="B31" s="1115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14" t="s">
        <v>560</v>
      </c>
      <c r="J31" s="1115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16" t="s">
        <v>560</v>
      </c>
      <c r="R31" s="1117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18" t="s">
        <v>564</v>
      </c>
      <c r="B32" s="1119"/>
      <c r="C32" s="1119"/>
      <c r="D32" s="34"/>
      <c r="E32" s="34"/>
      <c r="F32" s="38"/>
      <c r="G32" s="34"/>
      <c r="H32" s="35"/>
      <c r="I32" s="1118" t="s">
        <v>565</v>
      </c>
      <c r="J32" s="1119"/>
      <c r="K32" s="1119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31"/>
      <c r="B3" s="113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37"/>
      <c r="B12" s="113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43"/>
      <c r="B21" s="114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906" t="s">
        <v>596</v>
      </c>
      <c r="D10" s="906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06" t="s">
        <v>596</v>
      </c>
      <c r="D11" s="90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20" t="s">
        <v>519</v>
      </c>
      <c r="K1" s="1121"/>
      <c r="L1" s="1121"/>
      <c r="M1" s="1122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23" t="s">
        <v>555</v>
      </c>
      <c r="D17" s="1124"/>
      <c r="E17" s="1124"/>
      <c r="F17" s="1125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6" t="s">
        <v>562</v>
      </c>
      <c r="B29" s="1127"/>
      <c r="C29" s="1127"/>
      <c r="D29" s="1127"/>
      <c r="E29" s="1127"/>
      <c r="F29" s="1127"/>
      <c r="G29" s="1127"/>
      <c r="H29" s="1128"/>
      <c r="I29" s="1126" t="s">
        <v>563</v>
      </c>
      <c r="J29" s="1127"/>
      <c r="K29" s="1127"/>
      <c r="L29" s="1127"/>
      <c r="M29" s="1127"/>
      <c r="N29" s="1127"/>
      <c r="O29" s="1127"/>
      <c r="P29" s="1128"/>
      <c r="Q29" s="1126" t="s">
        <v>556</v>
      </c>
      <c r="R29" s="1127"/>
      <c r="S29" s="1127"/>
      <c r="T29" s="1127"/>
      <c r="U29" s="1127"/>
      <c r="V29" s="1127"/>
      <c r="W29" s="1127"/>
      <c r="X29" s="112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4" t="s">
        <v>560</v>
      </c>
      <c r="B31" s="1115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14" t="s">
        <v>560</v>
      </c>
      <c r="J31" s="1115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16" t="s">
        <v>560</v>
      </c>
      <c r="R31" s="1117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18" t="s">
        <v>564</v>
      </c>
      <c r="B32" s="1119"/>
      <c r="C32" s="1119"/>
      <c r="D32" s="34"/>
      <c r="E32" s="34"/>
      <c r="F32" s="38"/>
      <c r="G32" s="34"/>
      <c r="H32" s="35"/>
      <c r="I32" s="1118" t="s">
        <v>565</v>
      </c>
      <c r="J32" s="1119"/>
      <c r="K32" s="1119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X16" zoomScale="40" zoomScaleNormal="40" zoomScaleSheetLayoutView="70" zoomScalePageLayoutView="25" workbookViewId="0">
      <selection activeCell="AG23" sqref="AG23:AH2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18"/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  <c r="Q1" s="818"/>
      <c r="R1" s="855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78"/>
      <c r="BG1" s="878"/>
      <c r="BH1" s="878"/>
      <c r="BI1" s="878"/>
      <c r="BJ1" s="878"/>
      <c r="BK1" s="878"/>
      <c r="BL1" s="878"/>
      <c r="BM1" s="878"/>
      <c r="BN1" s="878"/>
    </row>
    <row r="2" ht="45" customHeight="1">
      <c r="A2" s="818"/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8"/>
      <c r="R2" s="855"/>
      <c r="S2" s="410" t="s">
        <v>649</v>
      </c>
      <c r="T2" s="411">
        <f>IF((V14="ok"),Royal!G84,"R")</f>
        <v>183951.63028298467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6" t="s">
        <v>649</v>
      </c>
      <c r="AG2" s="877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19496.100000000002</v>
      </c>
      <c r="AH2" s="877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120818.75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161703.49866666668</v>
      </c>
      <c r="BF2" s="878"/>
      <c r="BG2" s="878"/>
      <c r="BH2" s="878"/>
      <c r="BI2" s="878"/>
      <c r="BJ2" s="878"/>
      <c r="BK2" s="878"/>
      <c r="BL2" s="878"/>
      <c r="BM2" s="878"/>
      <c r="BN2" s="878"/>
    </row>
    <row r="3" ht="54.75" customHeight="1">
      <c r="A3" s="818"/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818"/>
      <c r="P3" s="818"/>
      <c r="Q3" s="818"/>
      <c r="R3" s="855"/>
      <c r="S3" s="516" t="s">
        <v>127</v>
      </c>
      <c r="T3" s="413">
        <f>T2/(AA10*X8)*10000</f>
        <v>11496.976892686542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6"/>
      <c r="AG3" s="877"/>
      <c r="AH3" s="877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9665.5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4620.0999619047625</v>
      </c>
      <c r="BF3" s="878"/>
      <c r="BG3" s="878"/>
      <c r="BH3" s="878"/>
      <c r="BI3" s="878"/>
      <c r="BJ3" s="878"/>
      <c r="BK3" s="878"/>
      <c r="BL3" s="878"/>
      <c r="BM3" s="878"/>
      <c r="BN3" s="878"/>
    </row>
    <row r="4" ht="55.5" customHeight="1">
      <c r="A4" s="818"/>
      <c r="B4" s="818"/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  <c r="P4" s="818"/>
      <c r="Q4" s="818"/>
      <c r="R4" s="855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6"/>
      <c r="AG4" s="877"/>
      <c r="AH4" s="877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79"/>
      <c r="BG4" s="880"/>
      <c r="BH4" s="880"/>
      <c r="BI4" s="880"/>
      <c r="BJ4" s="880"/>
      <c r="BK4" s="880"/>
      <c r="BL4" s="880"/>
      <c r="BM4" s="880"/>
      <c r="BN4" s="876"/>
    </row>
    <row r="5" ht="55.5" customHeight="1">
      <c r="A5" s="818"/>
      <c r="B5" s="818"/>
      <c r="C5" s="818"/>
      <c r="D5" s="818"/>
      <c r="E5" s="818"/>
      <c r="F5" s="818"/>
      <c r="G5" s="818"/>
      <c r="H5" s="818"/>
      <c r="I5" s="818"/>
      <c r="J5" s="818"/>
      <c r="K5" s="818"/>
      <c r="L5" s="818"/>
      <c r="M5" s="818"/>
      <c r="N5" s="818"/>
      <c r="O5" s="818"/>
      <c r="P5" s="818"/>
      <c r="Q5" s="818"/>
      <c r="R5" s="855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79"/>
      <c r="BG5" s="880"/>
      <c r="BH5" s="880"/>
      <c r="BI5" s="880"/>
      <c r="BJ5" s="880"/>
      <c r="BK5" s="880"/>
      <c r="BL5" s="880"/>
      <c r="BM5" s="880"/>
      <c r="BN5" s="876"/>
      <c r="BT5" s="0">
        <v>0</v>
      </c>
    </row>
    <row r="6" ht="55.5" customHeight="1">
      <c r="A6" s="818"/>
      <c r="B6" s="818"/>
      <c r="C6" s="818"/>
      <c r="D6" s="818"/>
      <c r="E6" s="818"/>
      <c r="F6" s="818"/>
      <c r="G6" s="818"/>
      <c r="H6" s="818"/>
      <c r="I6" s="818"/>
      <c r="J6" s="818"/>
      <c r="K6" s="818"/>
      <c r="L6" s="818"/>
      <c r="M6" s="818"/>
      <c r="N6" s="818"/>
      <c r="O6" s="818"/>
      <c r="P6" s="818"/>
      <c r="Q6" s="818"/>
      <c r="R6" s="855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81" t="s">
        <v>656</v>
      </c>
      <c r="AP6" s="882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76"/>
    </row>
    <row r="7" ht="18.75" customHeight="1">
      <c r="A7" s="818"/>
      <c r="B7" s="818"/>
      <c r="C7" s="818"/>
      <c r="D7" s="818"/>
      <c r="E7" s="818"/>
      <c r="F7" s="818"/>
      <c r="G7" s="818"/>
      <c r="H7" s="818"/>
      <c r="I7" s="818"/>
      <c r="J7" s="818"/>
      <c r="K7" s="818"/>
      <c r="L7" s="818"/>
      <c r="M7" s="818"/>
      <c r="N7" s="818"/>
      <c r="O7" s="818"/>
      <c r="P7" s="818"/>
      <c r="Q7" s="818"/>
      <c r="R7" s="855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76"/>
    </row>
    <row r="8" ht="55.5" customHeight="1">
      <c r="A8" s="407"/>
      <c r="B8" s="820"/>
      <c r="C8" s="820"/>
      <c r="D8" s="820"/>
      <c r="E8" s="407"/>
      <c r="F8" s="822"/>
      <c r="G8" s="822"/>
      <c r="H8" s="822"/>
      <c r="I8" s="818"/>
      <c r="J8" s="819"/>
      <c r="K8" s="819"/>
      <c r="L8" s="819"/>
      <c r="M8" s="818"/>
      <c r="N8" s="821"/>
      <c r="O8" s="821"/>
      <c r="P8" s="821"/>
      <c r="Q8" s="407"/>
      <c r="R8" s="855"/>
      <c r="S8" s="861"/>
      <c r="T8" s="86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207</v>
      </c>
      <c r="AK8" s="461">
        <v>3</v>
      </c>
      <c r="AL8" s="461" t="s">
        <v>234</v>
      </c>
      <c r="AM8" s="461" t="s">
        <v>208</v>
      </c>
      <c r="AN8" s="462" t="s">
        <v>257</v>
      </c>
      <c r="AO8" s="883"/>
      <c r="AP8" s="884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76"/>
    </row>
    <row r="9" ht="55.5" customHeight="1">
      <c r="A9" s="407"/>
      <c r="B9" s="820"/>
      <c r="C9" s="820"/>
      <c r="D9" s="820"/>
      <c r="E9" s="407"/>
      <c r="F9" s="822"/>
      <c r="G9" s="822"/>
      <c r="H9" s="822"/>
      <c r="I9" s="818"/>
      <c r="J9" s="819"/>
      <c r="K9" s="819"/>
      <c r="L9" s="819"/>
      <c r="M9" s="818"/>
      <c r="N9" s="821"/>
      <c r="O9" s="821"/>
      <c r="P9" s="821"/>
      <c r="Q9" s="407"/>
      <c r="R9" s="855"/>
      <c r="S9" s="862"/>
      <c r="T9" s="86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76"/>
    </row>
    <row r="10" ht="55.5" customHeight="1">
      <c r="A10" s="407"/>
      <c r="B10" s="820"/>
      <c r="C10" s="820"/>
      <c r="D10" s="820"/>
      <c r="E10" s="407"/>
      <c r="F10" s="822"/>
      <c r="G10" s="822"/>
      <c r="H10" s="822"/>
      <c r="I10" s="818"/>
      <c r="J10" s="819"/>
      <c r="K10" s="819"/>
      <c r="L10" s="819"/>
      <c r="M10" s="818"/>
      <c r="N10" s="821"/>
      <c r="O10" s="821"/>
      <c r="P10" s="821"/>
      <c r="Q10" s="407"/>
      <c r="R10" s="855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59" t="s">
        <v>659</v>
      </c>
      <c r="AF10" s="859"/>
      <c r="AG10" s="859"/>
      <c r="AH10" s="859"/>
      <c r="AI10" s="859"/>
      <c r="AJ10" s="859"/>
      <c r="AK10" s="859"/>
      <c r="AL10" s="859"/>
      <c r="AM10" s="859"/>
      <c r="AN10" s="859"/>
      <c r="AO10" s="859"/>
      <c r="AP10" s="859"/>
      <c r="AQ10" s="859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76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5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76"/>
    </row>
    <row r="12" ht="42" customHeight="1" s="405" customFormat="1">
      <c r="A12" s="407"/>
      <c r="B12" s="819"/>
      <c r="C12" s="819"/>
      <c r="D12" s="819"/>
      <c r="E12" s="407"/>
      <c r="F12" s="825"/>
      <c r="G12" s="825"/>
      <c r="H12" s="825"/>
      <c r="I12" s="818"/>
      <c r="J12" s="819"/>
      <c r="K12" s="819"/>
      <c r="L12" s="819"/>
      <c r="M12" s="818"/>
      <c r="N12" s="824"/>
      <c r="O12" s="824"/>
      <c r="P12" s="824"/>
      <c r="Q12" s="407"/>
      <c r="R12" s="855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76"/>
    </row>
    <row r="13" ht="55.5" customHeight="1" s="405" customFormat="1">
      <c r="A13" s="407"/>
      <c r="B13" s="819"/>
      <c r="C13" s="819"/>
      <c r="D13" s="819"/>
      <c r="E13" s="407"/>
      <c r="F13" s="825"/>
      <c r="G13" s="825"/>
      <c r="H13" s="825"/>
      <c r="I13" s="818"/>
      <c r="J13" s="819"/>
      <c r="K13" s="819"/>
      <c r="L13" s="819"/>
      <c r="M13" s="818"/>
      <c r="N13" s="824"/>
      <c r="O13" s="824"/>
      <c r="P13" s="824"/>
      <c r="Q13" s="407"/>
      <c r="R13" s="855"/>
      <c r="S13" s="523" t="s">
        <v>661</v>
      </c>
      <c r="T13" s="487"/>
      <c r="AC13" s="407"/>
      <c r="AD13" s="629"/>
      <c r="AE13" s="407"/>
      <c r="AF13" s="886" t="s">
        <v>649</v>
      </c>
      <c r="AG13" s="885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16529.940000000002</v>
      </c>
      <c r="AH13" s="885"/>
      <c r="AI13" s="414"/>
      <c r="AJ13" s="414"/>
      <c r="AK13" s="414"/>
      <c r="AL13" s="887" t="s">
        <v>662</v>
      </c>
      <c r="AM13" s="887"/>
      <c r="AN13" s="887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76"/>
    </row>
    <row r="14" ht="55.5" customHeight="1" s="405" customFormat="1">
      <c r="A14" s="407"/>
      <c r="B14" s="819"/>
      <c r="C14" s="819"/>
      <c r="D14" s="819"/>
      <c r="E14" s="407"/>
      <c r="F14" s="825"/>
      <c r="G14" s="825"/>
      <c r="H14" s="825"/>
      <c r="I14" s="818"/>
      <c r="J14" s="819"/>
      <c r="K14" s="819"/>
      <c r="L14" s="819"/>
      <c r="M14" s="818"/>
      <c r="N14" s="824"/>
      <c r="O14" s="824"/>
      <c r="P14" s="824"/>
      <c r="Q14" s="407"/>
      <c r="R14" s="855"/>
      <c r="S14" s="524" t="s">
        <v>664</v>
      </c>
      <c r="T14" s="522"/>
      <c r="U14" s="488" t="s">
        <v>617</v>
      </c>
      <c r="V14" s="85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57"/>
      <c r="X14" s="857"/>
      <c r="Y14" s="857"/>
      <c r="Z14" s="857"/>
      <c r="AA14" s="857"/>
      <c r="AB14" s="857"/>
      <c r="AC14" s="857"/>
      <c r="AD14" s="629"/>
      <c r="AE14" s="407"/>
      <c r="AF14" s="886"/>
      <c r="AG14" s="885"/>
      <c r="AH14" s="885"/>
      <c r="AI14" s="407"/>
      <c r="AJ14" s="407"/>
      <c r="AK14" s="407"/>
      <c r="AL14" s="887"/>
      <c r="AM14" s="887"/>
      <c r="AN14" s="887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5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57"/>
      <c r="AX14" s="857"/>
      <c r="AY14" s="857"/>
      <c r="AZ14" s="857"/>
      <c r="BA14" s="857"/>
      <c r="BB14" s="857"/>
      <c r="BC14" s="406"/>
      <c r="BD14" s="483" t="s">
        <v>664</v>
      </c>
      <c r="BE14" s="483"/>
      <c r="BF14" s="488" t="s">
        <v>614</v>
      </c>
      <c r="BG14" s="85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57"/>
      <c r="BI14" s="857"/>
      <c r="BJ14" s="857"/>
      <c r="BK14" s="857"/>
      <c r="BL14" s="857"/>
      <c r="BM14" s="857"/>
      <c r="BN14" s="528"/>
    </row>
    <row r="15" ht="18.75" customHeight="1" s="405" customFormat="1">
      <c r="A15" s="407"/>
      <c r="B15" s="818"/>
      <c r="C15" s="818"/>
      <c r="D15" s="818"/>
      <c r="E15" s="818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P15" s="818"/>
      <c r="Q15" s="407"/>
      <c r="R15" s="855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18"/>
      <c r="B16" s="818"/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55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18"/>
      <c r="B17" s="818"/>
      <c r="C17" s="818"/>
      <c r="D17" s="818"/>
      <c r="E17" s="818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P17" s="818"/>
      <c r="Q17" s="818"/>
      <c r="R17" s="855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18"/>
      <c r="B18" s="818"/>
      <c r="C18" s="818"/>
      <c r="D18" s="818"/>
      <c r="E18" s="818"/>
      <c r="F18" s="818"/>
      <c r="G18" s="818"/>
      <c r="H18" s="818"/>
      <c r="I18" s="818"/>
      <c r="J18" s="818"/>
      <c r="K18" s="818"/>
      <c r="L18" s="818"/>
      <c r="M18" s="818"/>
      <c r="N18" s="818"/>
      <c r="O18" s="818"/>
      <c r="P18" s="818"/>
      <c r="Q18" s="818"/>
      <c r="R18" s="855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18"/>
      <c r="B19" s="818"/>
      <c r="C19" s="818"/>
      <c r="D19" s="818"/>
      <c r="E19" s="818"/>
      <c r="F19" s="818"/>
      <c r="G19" s="818"/>
      <c r="H19" s="818"/>
      <c r="I19" s="818"/>
      <c r="J19" s="818"/>
      <c r="K19" s="818"/>
      <c r="L19" s="818"/>
      <c r="M19" s="818"/>
      <c r="N19" s="818"/>
      <c r="O19" s="818"/>
      <c r="P19" s="818"/>
      <c r="Q19" s="818"/>
      <c r="R19" s="855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18"/>
      <c r="B20" s="818"/>
      <c r="C20" s="818"/>
      <c r="D20" s="818"/>
      <c r="E20" s="818"/>
      <c r="F20" s="818"/>
      <c r="G20" s="818"/>
      <c r="H20" s="818"/>
      <c r="I20" s="818"/>
      <c r="J20" s="818"/>
      <c r="K20" s="818"/>
      <c r="L20" s="818"/>
      <c r="M20" s="818"/>
      <c r="N20" s="818"/>
      <c r="O20" s="818"/>
      <c r="P20" s="818"/>
      <c r="Q20" s="818"/>
      <c r="R20" s="855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59" t="s">
        <v>666</v>
      </c>
      <c r="AF20" s="859"/>
      <c r="AG20" s="859"/>
      <c r="AH20" s="859"/>
      <c r="AI20" s="859"/>
      <c r="AJ20" s="859"/>
      <c r="AK20" s="859"/>
      <c r="AL20" s="859"/>
      <c r="AM20" s="859"/>
      <c r="AN20" s="859"/>
      <c r="AO20" s="859"/>
      <c r="AP20" s="859"/>
      <c r="AQ20" s="859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26"/>
      <c r="B21" s="826"/>
      <c r="C21" s="826"/>
      <c r="D21" s="826"/>
      <c r="E21" s="826"/>
      <c r="F21" s="826"/>
      <c r="G21" s="826"/>
      <c r="H21" s="826"/>
      <c r="I21" s="826"/>
      <c r="J21" s="826"/>
      <c r="K21" s="826"/>
      <c r="L21" s="826"/>
      <c r="M21" s="826"/>
      <c r="N21" s="826"/>
      <c r="O21" s="826"/>
      <c r="P21" s="826"/>
      <c r="Q21" s="826"/>
      <c r="R21" s="855"/>
      <c r="S21" s="827" t="s">
        <v>667</v>
      </c>
      <c r="T21" s="828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59"/>
      <c r="AF21" s="859"/>
      <c r="AG21" s="859"/>
      <c r="AH21" s="859"/>
      <c r="AI21" s="859"/>
      <c r="AJ21" s="859"/>
      <c r="AK21" s="859"/>
      <c r="AL21" s="859"/>
      <c r="AM21" s="859"/>
      <c r="AN21" s="859"/>
      <c r="AO21" s="859"/>
      <c r="AP21" s="859"/>
      <c r="AQ21" s="859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26"/>
      <c r="B22" s="826"/>
      <c r="C22" s="826"/>
      <c r="D22" s="826"/>
      <c r="E22" s="826"/>
      <c r="F22" s="826"/>
      <c r="G22" s="826"/>
      <c r="H22" s="826"/>
      <c r="I22" s="826"/>
      <c r="J22" s="826"/>
      <c r="K22" s="826"/>
      <c r="L22" s="826"/>
      <c r="M22" s="826"/>
      <c r="N22" s="826"/>
      <c r="O22" s="826"/>
      <c r="P22" s="826"/>
      <c r="Q22" s="826"/>
      <c r="R22" s="855"/>
      <c r="S22" s="434" t="s">
        <v>649</v>
      </c>
      <c r="T22" s="435">
        <f>Royal2!G86</f>
        <v>210644.91856518574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371276.39999999997</v>
      </c>
      <c r="AU22" s="471"/>
      <c r="BC22" s="406"/>
      <c r="BD22" s="463" t="s">
        <v>649</v>
      </c>
      <c r="BE22" s="464">
        <f>'بيرسا و لوفرز'!R140</f>
        <v>373493.81333333335</v>
      </c>
      <c r="BF22" s="471"/>
      <c r="BN22" s="407"/>
    </row>
    <row r="23" ht="39.75" customHeight="1" s="405" customFormat="1">
      <c r="A23" s="826"/>
      <c r="B23" s="826"/>
      <c r="C23" s="826"/>
      <c r="D23" s="826"/>
      <c r="E23" s="826"/>
      <c r="F23" s="826"/>
      <c r="G23" s="826"/>
      <c r="H23" s="826"/>
      <c r="I23" s="826"/>
      <c r="J23" s="826"/>
      <c r="K23" s="826"/>
      <c r="L23" s="826"/>
      <c r="M23" s="826"/>
      <c r="N23" s="826"/>
      <c r="O23" s="826"/>
      <c r="P23" s="826"/>
      <c r="Q23" s="826"/>
      <c r="R23" s="855"/>
      <c r="S23" s="436" t="s">
        <v>127</v>
      </c>
      <c r="T23" s="435">
        <f>T22/(AA33*X31)*10000</f>
        <v>13165.307410324109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6" t="s">
        <v>649</v>
      </c>
      <c r="AF23" s="836"/>
      <c r="AG23" s="858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16529.940000000002</v>
      </c>
      <c r="AH23" s="858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18563.82</v>
      </c>
      <c r="AU23" s="471"/>
      <c r="AV23" s="472"/>
      <c r="BC23" s="406"/>
      <c r="BD23" s="463" t="s">
        <v>127</v>
      </c>
      <c r="BE23" s="465">
        <f>BE22/(BE33*BE34/10000)</f>
        <v>18674.690666666669</v>
      </c>
      <c r="BF23" s="471"/>
      <c r="BG23" s="472"/>
      <c r="BN23" s="407"/>
    </row>
    <row r="24" ht="39.75" customHeight="1" s="405" customFormat="1">
      <c r="A24" s="826"/>
      <c r="B24" s="826"/>
      <c r="C24" s="826"/>
      <c r="D24" s="826"/>
      <c r="E24" s="826"/>
      <c r="F24" s="826"/>
      <c r="G24" s="826"/>
      <c r="H24" s="826"/>
      <c r="I24" s="826"/>
      <c r="J24" s="826"/>
      <c r="K24" s="826"/>
      <c r="L24" s="826"/>
      <c r="M24" s="826"/>
      <c r="N24" s="826"/>
      <c r="O24" s="826"/>
      <c r="P24" s="826"/>
      <c r="Q24" s="826"/>
      <c r="R24" s="855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6"/>
      <c r="AF24" s="836"/>
      <c r="AG24" s="858"/>
      <c r="AH24" s="858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26"/>
      <c r="B25" s="826"/>
      <c r="C25" s="826"/>
      <c r="D25" s="826"/>
      <c r="E25" s="826"/>
      <c r="F25" s="826"/>
      <c r="G25" s="826"/>
      <c r="H25" s="826"/>
      <c r="I25" s="826"/>
      <c r="J25" s="826"/>
      <c r="K25" s="826"/>
      <c r="L25" s="826"/>
      <c r="M25" s="826"/>
      <c r="N25" s="826"/>
      <c r="O25" s="826"/>
      <c r="P25" s="826"/>
      <c r="Q25" s="826"/>
      <c r="R25" s="855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26"/>
      <c r="B26" s="826"/>
      <c r="C26" s="826"/>
      <c r="D26" s="826"/>
      <c r="E26" s="826"/>
      <c r="F26" s="826"/>
      <c r="G26" s="826"/>
      <c r="H26" s="826"/>
      <c r="I26" s="826"/>
      <c r="J26" s="826"/>
      <c r="K26" s="826"/>
      <c r="L26" s="826"/>
      <c r="M26" s="826"/>
      <c r="N26" s="826"/>
      <c r="O26" s="826"/>
      <c r="P26" s="826"/>
      <c r="Q26" s="826"/>
      <c r="R26" s="855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34" t="s">
        <v>670</v>
      </c>
      <c r="AG26" s="834" t="s">
        <v>651</v>
      </c>
      <c r="AH26" s="844" t="s">
        <v>200</v>
      </c>
      <c r="AI26" s="834" t="s">
        <v>295</v>
      </c>
      <c r="AJ26" s="834" t="s">
        <v>654</v>
      </c>
      <c r="AK26" s="834" t="s">
        <v>655</v>
      </c>
      <c r="AL26" s="839" t="s">
        <v>656</v>
      </c>
      <c r="AM26" s="839"/>
      <c r="AN26" s="834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26"/>
      <c r="B27" s="826"/>
      <c r="C27" s="826"/>
      <c r="D27" s="826"/>
      <c r="E27" s="826"/>
      <c r="F27" s="826"/>
      <c r="G27" s="826"/>
      <c r="H27" s="826"/>
      <c r="I27" s="826"/>
      <c r="J27" s="826"/>
      <c r="K27" s="826"/>
      <c r="L27" s="826"/>
      <c r="M27" s="826"/>
      <c r="N27" s="826"/>
      <c r="O27" s="826"/>
      <c r="P27" s="826"/>
      <c r="Q27" s="826"/>
      <c r="R27" s="855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35"/>
      <c r="AG27" s="835"/>
      <c r="AH27" s="845"/>
      <c r="AI27" s="835"/>
      <c r="AJ27" s="835"/>
      <c r="AK27" s="835"/>
      <c r="AL27" s="840"/>
      <c r="AM27" s="840"/>
      <c r="AN27" s="835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26"/>
      <c r="B28" s="826"/>
      <c r="C28" s="826"/>
      <c r="D28" s="826"/>
      <c r="E28" s="826"/>
      <c r="F28" s="826"/>
      <c r="G28" s="826"/>
      <c r="H28" s="826"/>
      <c r="I28" s="826"/>
      <c r="J28" s="826"/>
      <c r="K28" s="826"/>
      <c r="L28" s="826"/>
      <c r="M28" s="826"/>
      <c r="N28" s="826"/>
      <c r="O28" s="826"/>
      <c r="P28" s="826"/>
      <c r="Q28" s="826"/>
      <c r="R28" s="855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32" t="s">
        <v>665</v>
      </c>
      <c r="AG28" s="832" t="s">
        <v>256</v>
      </c>
      <c r="AH28" s="832">
        <v>3</v>
      </c>
      <c r="AI28" s="832" t="s">
        <v>234</v>
      </c>
      <c r="AJ28" s="832" t="s">
        <v>224</v>
      </c>
      <c r="AK28" s="832" t="s">
        <v>257</v>
      </c>
      <c r="AL28" s="837"/>
      <c r="AM28" s="837"/>
      <c r="AN28" s="832" t="s">
        <v>672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26"/>
      <c r="B29" s="826"/>
      <c r="C29" s="826"/>
      <c r="D29" s="826"/>
      <c r="E29" s="826"/>
      <c r="F29" s="826"/>
      <c r="G29" s="826"/>
      <c r="H29" s="826"/>
      <c r="I29" s="826"/>
      <c r="J29" s="826"/>
      <c r="K29" s="826"/>
      <c r="L29" s="826"/>
      <c r="M29" s="826"/>
      <c r="N29" s="826"/>
      <c r="O29" s="826"/>
      <c r="P29" s="826"/>
      <c r="Q29" s="826"/>
      <c r="R29" s="855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33"/>
      <c r="AG29" s="833"/>
      <c r="AH29" s="833"/>
      <c r="AI29" s="833"/>
      <c r="AJ29" s="833"/>
      <c r="AK29" s="833"/>
      <c r="AL29" s="838"/>
      <c r="AM29" s="838"/>
      <c r="AN29" s="833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26"/>
      <c r="B30" s="826"/>
      <c r="C30" s="826"/>
      <c r="D30" s="826"/>
      <c r="E30" s="826"/>
      <c r="F30" s="826"/>
      <c r="G30" s="826"/>
      <c r="H30" s="826"/>
      <c r="I30" s="826"/>
      <c r="J30" s="826"/>
      <c r="K30" s="826"/>
      <c r="L30" s="826"/>
      <c r="M30" s="826"/>
      <c r="N30" s="826"/>
      <c r="O30" s="826"/>
      <c r="P30" s="826"/>
      <c r="Q30" s="826"/>
      <c r="R30" s="855"/>
      <c r="S30" s="432" t="s">
        <v>673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674</v>
      </c>
      <c r="BG30" s="475"/>
      <c r="BH30" s="476"/>
      <c r="BI30" s="476"/>
      <c r="BJ30" s="476"/>
      <c r="BK30" s="476"/>
      <c r="BN30" s="407"/>
    </row>
    <row r="31" ht="39.75" customHeight="1">
      <c r="A31" s="826"/>
      <c r="B31" s="826"/>
      <c r="C31" s="826"/>
      <c r="D31" s="826"/>
      <c r="E31" s="826"/>
      <c r="F31" s="826"/>
      <c r="G31" s="826"/>
      <c r="H31" s="826"/>
      <c r="I31" s="826"/>
      <c r="J31" s="826"/>
      <c r="K31" s="826"/>
      <c r="L31" s="826"/>
      <c r="M31" s="826"/>
      <c r="N31" s="826"/>
      <c r="O31" s="826"/>
      <c r="P31" s="826"/>
      <c r="Q31" s="826"/>
      <c r="R31" s="855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30" t="s">
        <v>675</v>
      </c>
      <c r="AF31" s="830"/>
      <c r="AG31" s="830"/>
      <c r="AH31" s="830"/>
      <c r="AI31" s="830"/>
      <c r="AJ31" s="830"/>
      <c r="AK31" s="830"/>
      <c r="AL31" s="830"/>
      <c r="AM31" s="830"/>
      <c r="AN31" s="830"/>
      <c r="AO31" s="830"/>
      <c r="AP31" s="830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26"/>
      <c r="B32" s="826"/>
      <c r="C32" s="826"/>
      <c r="D32" s="826"/>
      <c r="E32" s="826"/>
      <c r="F32" s="826"/>
      <c r="G32" s="826"/>
      <c r="H32" s="826"/>
      <c r="I32" s="826"/>
      <c r="J32" s="826"/>
      <c r="K32" s="826"/>
      <c r="L32" s="826"/>
      <c r="M32" s="826"/>
      <c r="N32" s="826"/>
      <c r="O32" s="826"/>
      <c r="P32" s="826"/>
      <c r="Q32" s="826"/>
      <c r="R32" s="855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811" t="s">
        <v>676</v>
      </c>
      <c r="AG32" s="812" t="s">
        <v>677</v>
      </c>
      <c r="AH32" s="811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يمكن الاختيار بين المقاسين 2.5 او 3</v>
      </c>
      <c r="AI32" s="454"/>
      <c r="AJ32" s="454"/>
      <c r="AK32" s="454"/>
      <c r="AL32" s="811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26"/>
      <c r="B33" s="826"/>
      <c r="C33" s="826"/>
      <c r="D33" s="826"/>
      <c r="E33" s="826"/>
      <c r="F33" s="826"/>
      <c r="G33" s="826"/>
      <c r="H33" s="826"/>
      <c r="I33" s="826"/>
      <c r="J33" s="826"/>
      <c r="K33" s="826"/>
      <c r="L33" s="826"/>
      <c r="M33" s="826"/>
      <c r="N33" s="826"/>
      <c r="O33" s="826"/>
      <c r="P33" s="826"/>
      <c r="Q33" s="826"/>
      <c r="R33" s="855"/>
      <c r="S33" s="432" t="s">
        <v>661</v>
      </c>
      <c r="T33" s="446"/>
      <c r="U33" s="445"/>
      <c r="V33" s="831"/>
      <c r="W33" s="831"/>
      <c r="X33" s="447"/>
      <c r="Y33" s="445"/>
      <c r="Z33" s="445"/>
      <c r="AA33" s="444">
        <v>400</v>
      </c>
      <c r="AB33" s="445"/>
      <c r="AC33" s="445"/>
      <c r="AE33" s="797"/>
      <c r="AF33" s="811" t="s">
        <v>678</v>
      </c>
      <c r="AG33" s="812" t="s">
        <v>679</v>
      </c>
      <c r="AH33" s="811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472"/>
      <c r="AJ33" s="472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26"/>
      <c r="B34" s="826"/>
      <c r="C34" s="826"/>
      <c r="D34" s="826"/>
      <c r="E34" s="826"/>
      <c r="F34" s="826"/>
      <c r="G34" s="826"/>
      <c r="H34" s="826"/>
      <c r="I34" s="826"/>
      <c r="J34" s="826"/>
      <c r="K34" s="826"/>
      <c r="L34" s="826"/>
      <c r="M34" s="826"/>
      <c r="N34" s="826"/>
      <c r="O34" s="826"/>
      <c r="P34" s="826"/>
      <c r="Q34" s="826"/>
      <c r="R34" s="855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E34" s="797"/>
      <c r="AF34" s="811" t="s">
        <v>680</v>
      </c>
      <c r="AG34" s="812" t="s">
        <v>681</v>
      </c>
      <c r="AH34" s="811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798"/>
      <c r="AJ34" s="798"/>
      <c r="AK34" s="798"/>
      <c r="AS34" s="422" t="s">
        <v>664</v>
      </c>
      <c r="AT34" s="430">
        <v>500</v>
      </c>
      <c r="AU34" s="477"/>
      <c r="AZ34" s="846"/>
      <c r="BA34" s="846"/>
      <c r="BB34" s="846"/>
      <c r="BD34" s="430" t="s">
        <v>664</v>
      </c>
      <c r="BE34" s="430">
        <v>500</v>
      </c>
      <c r="BF34" s="477"/>
      <c r="BK34" s="846"/>
      <c r="BL34" s="846"/>
      <c r="BM34" s="846"/>
      <c r="BN34" s="407"/>
    </row>
    <row r="35" ht="41.25" customHeight="1">
      <c r="A35" s="826"/>
      <c r="B35" s="826"/>
      <c r="C35" s="826"/>
      <c r="D35" s="826"/>
      <c r="E35" s="826"/>
      <c r="F35" s="826"/>
      <c r="G35" s="826"/>
      <c r="H35" s="826"/>
      <c r="I35" s="826"/>
      <c r="J35" s="826"/>
      <c r="K35" s="826"/>
      <c r="L35" s="826"/>
      <c r="M35" s="826"/>
      <c r="N35" s="826"/>
      <c r="O35" s="826"/>
      <c r="P35" s="826"/>
      <c r="Q35" s="826"/>
      <c r="R35" s="855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E35" s="797"/>
      <c r="AF35" s="811" t="s">
        <v>682</v>
      </c>
      <c r="AG35" s="812"/>
      <c r="AH35" s="472"/>
      <c r="AI35" s="798"/>
      <c r="AJ35" s="798"/>
      <c r="AK35" s="798"/>
      <c r="AS35" s="407"/>
      <c r="AT35" s="407"/>
      <c r="BD35" s="407"/>
      <c r="BE35" s="407"/>
      <c r="BN35" s="407"/>
    </row>
    <row r="36" ht="41.25" customHeight="1">
      <c r="A36" s="826"/>
      <c r="B36" s="826"/>
      <c r="C36" s="826"/>
      <c r="D36" s="826"/>
      <c r="E36" s="826"/>
      <c r="F36" s="826"/>
      <c r="G36" s="826"/>
      <c r="H36" s="826"/>
      <c r="I36" s="826"/>
      <c r="J36" s="826"/>
      <c r="K36" s="826"/>
      <c r="L36" s="826"/>
      <c r="M36" s="826"/>
      <c r="N36" s="826"/>
      <c r="O36" s="826"/>
      <c r="P36" s="826"/>
      <c r="Q36" s="826"/>
      <c r="R36" s="855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683</v>
      </c>
      <c r="AG36" s="799"/>
      <c r="AH36" s="800"/>
      <c r="AI36" s="799"/>
      <c r="AJ36" s="799"/>
      <c r="AK36" s="799"/>
      <c r="AL36" s="799"/>
      <c r="AM36" s="80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26"/>
      <c r="B37" s="826"/>
      <c r="C37" s="826"/>
      <c r="D37" s="826"/>
      <c r="E37" s="826"/>
      <c r="F37" s="826"/>
      <c r="G37" s="826"/>
      <c r="H37" s="826"/>
      <c r="I37" s="826"/>
      <c r="J37" s="826"/>
      <c r="K37" s="826"/>
      <c r="L37" s="826"/>
      <c r="M37" s="826"/>
      <c r="N37" s="826"/>
      <c r="O37" s="826"/>
      <c r="P37" s="826"/>
      <c r="Q37" s="826"/>
      <c r="R37" s="855"/>
      <c r="S37" s="407"/>
      <c r="T37" s="407"/>
      <c r="U37" s="82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9"/>
      <c r="W37" s="829"/>
      <c r="X37" s="829"/>
      <c r="Y37" s="829"/>
      <c r="Z37" s="829"/>
      <c r="AA37" s="829"/>
      <c r="AB37" s="829"/>
      <c r="AC37" s="829"/>
      <c r="AG37" s="799"/>
      <c r="AH37" s="800"/>
      <c r="AI37" s="799"/>
      <c r="AJ37" s="799"/>
      <c r="AK37" s="799"/>
      <c r="AL37" s="799"/>
      <c r="AM37" s="801"/>
      <c r="AS37" s="872">
        <f>('بيرسا و لوفرز'!F24+'بيرسا و لوفرز'!V55+'بيرسا و لوفرز'!V63)*1.35</f>
        <v>281340</v>
      </c>
      <c r="AT37" s="873"/>
      <c r="BD37" s="874">
        <f>('بيرسا و لوفرز'!F97+'بيرسا و لوفرز'!V126+'بيرسا و لوفرز'!V134)*1.35</f>
        <v>259815.6</v>
      </c>
      <c r="BE37" s="873"/>
      <c r="BN37" s="407"/>
    </row>
    <row r="38" ht="41.25" customHeight="1">
      <c r="A38" s="818"/>
      <c r="B38" s="818"/>
      <c r="C38" s="818"/>
      <c r="D38" s="818"/>
      <c r="E38" s="818"/>
      <c r="F38" s="818"/>
      <c r="G38" s="818"/>
      <c r="H38" s="818"/>
      <c r="I38" s="818"/>
      <c r="J38" s="818"/>
      <c r="K38" s="818"/>
      <c r="L38" s="818"/>
      <c r="M38" s="818"/>
      <c r="N38" s="818"/>
      <c r="O38" s="818"/>
      <c r="P38" s="818"/>
      <c r="Q38" s="818"/>
      <c r="R38" s="855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G38" s="802"/>
      <c r="AH38" s="802"/>
      <c r="AI38" s="802"/>
      <c r="AJ38" s="802"/>
      <c r="AK38" s="803"/>
      <c r="AL38" s="802"/>
      <c r="AM38" s="804"/>
      <c r="AS38" s="872">
        <f>AS37/(AT34*AT33/10000)</f>
        <v>14067</v>
      </c>
      <c r="AT38" s="873"/>
      <c r="BD38" s="874">
        <f>BD37/(BE33*BE34/10000)</f>
        <v>12990.78</v>
      </c>
      <c r="BE38" s="873"/>
      <c r="BK38" s="484">
        <f>BE33</f>
        <v>400</v>
      </c>
      <c r="BN38" s="407"/>
    </row>
    <row r="39" ht="41.25" customHeight="1">
      <c r="A39" s="818"/>
      <c r="B39" s="818"/>
      <c r="C39" s="818"/>
      <c r="D39" s="818"/>
      <c r="E39" s="818"/>
      <c r="F39" s="818"/>
      <c r="G39" s="818"/>
      <c r="H39" s="818"/>
      <c r="I39" s="818"/>
      <c r="J39" s="818"/>
      <c r="K39" s="818"/>
      <c r="L39" s="818"/>
      <c r="M39" s="818"/>
      <c r="N39" s="818"/>
      <c r="O39" s="818"/>
      <c r="P39" s="818"/>
      <c r="Q39" s="818"/>
      <c r="R39" s="855"/>
      <c r="S39" s="818"/>
      <c r="T39" s="818"/>
      <c r="U39" s="818"/>
      <c r="V39" s="818"/>
      <c r="W39" s="818"/>
      <c r="X39" s="818"/>
      <c r="Y39" s="818"/>
      <c r="Z39" s="818"/>
      <c r="AA39" s="818"/>
      <c r="AB39" s="818"/>
      <c r="AC39" s="818"/>
      <c r="AG39" s="802"/>
      <c r="AH39" s="802"/>
      <c r="AI39" s="802"/>
      <c r="AJ39" s="802"/>
      <c r="AK39" s="803"/>
      <c r="AL39" s="802"/>
      <c r="AM39" s="804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18"/>
      <c r="B40" s="818"/>
      <c r="C40" s="818"/>
      <c r="D40" s="818"/>
      <c r="E40" s="818"/>
      <c r="F40" s="818"/>
      <c r="G40" s="818"/>
      <c r="H40" s="818"/>
      <c r="I40" s="818"/>
      <c r="J40" s="818"/>
      <c r="K40" s="818"/>
      <c r="L40" s="818"/>
      <c r="M40" s="818"/>
      <c r="N40" s="818"/>
      <c r="O40" s="818"/>
      <c r="P40" s="818"/>
      <c r="Q40" s="818"/>
      <c r="R40" s="855"/>
      <c r="S40" s="818"/>
      <c r="T40" s="818"/>
      <c r="U40" s="818"/>
      <c r="V40" s="818"/>
      <c r="W40" s="818"/>
      <c r="X40" s="818"/>
      <c r="Y40" s="818"/>
      <c r="Z40" s="818"/>
      <c r="AA40" s="818"/>
      <c r="AB40" s="818"/>
      <c r="AC40" s="818"/>
      <c r="AI40" s="805"/>
      <c r="AJ40" s="805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18"/>
      <c r="B41" s="818"/>
      <c r="C41" s="818"/>
      <c r="D41" s="818"/>
      <c r="E41" s="818"/>
      <c r="F41" s="818"/>
      <c r="G41" s="818"/>
      <c r="H41" s="818"/>
      <c r="I41" s="818"/>
      <c r="J41" s="818"/>
      <c r="K41" s="818"/>
      <c r="L41" s="818"/>
      <c r="M41" s="818"/>
      <c r="N41" s="818"/>
      <c r="O41" s="818"/>
      <c r="P41" s="818"/>
      <c r="Q41" s="818"/>
      <c r="R41" s="855"/>
      <c r="S41" s="818"/>
      <c r="T41" s="818"/>
      <c r="U41" s="818"/>
      <c r="V41" s="818"/>
      <c r="W41" s="818"/>
      <c r="X41" s="818"/>
      <c r="Y41" s="818"/>
      <c r="Z41" s="818"/>
      <c r="AA41" s="818"/>
      <c r="AB41" s="818"/>
      <c r="AC41" s="818"/>
      <c r="AE41" s="806"/>
      <c r="AF41" s="806"/>
      <c r="AG41" s="806"/>
      <c r="AH41" s="806"/>
      <c r="AI41" s="806"/>
      <c r="AJ41" s="806"/>
      <c r="AK41" s="806"/>
      <c r="AL41" s="806"/>
      <c r="AM41" s="806"/>
      <c r="AN41" s="806"/>
      <c r="AO41" s="806"/>
      <c r="AP41" s="806"/>
      <c r="AS41" s="875" t="s">
        <v>684</v>
      </c>
      <c r="AT41" s="875"/>
      <c r="AU41" s="875"/>
      <c r="AW41" s="476"/>
      <c r="BD41" s="408" t="s">
        <v>685</v>
      </c>
      <c r="BE41" s="408"/>
      <c r="BF41" s="408"/>
      <c r="BH41" s="476"/>
      <c r="BN41" s="407"/>
    </row>
    <row r="42" ht="42" customHeight="1">
      <c r="A42" s="818"/>
      <c r="B42" s="818"/>
      <c r="C42" s="818"/>
      <c r="D42" s="818"/>
      <c r="E42" s="818"/>
      <c r="F42" s="818"/>
      <c r="G42" s="818"/>
      <c r="H42" s="818"/>
      <c r="I42" s="818"/>
      <c r="J42" s="818"/>
      <c r="K42" s="818"/>
      <c r="L42" s="818"/>
      <c r="M42" s="818"/>
      <c r="N42" s="818"/>
      <c r="O42" s="818"/>
      <c r="P42" s="818"/>
      <c r="Q42" s="818"/>
      <c r="R42" s="855"/>
      <c r="S42" s="827" t="s">
        <v>686</v>
      </c>
      <c r="T42" s="828"/>
      <c r="U42" s="449"/>
      <c r="V42" s="449"/>
      <c r="W42" s="449"/>
      <c r="X42" s="449"/>
      <c r="Y42" s="449"/>
      <c r="Z42" s="449"/>
      <c r="AA42" s="449"/>
      <c r="AB42" s="449"/>
      <c r="AC42" s="449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S42" s="796" t="s">
        <v>649</v>
      </c>
      <c r="AT42" s="464">
        <f>'بيرسا و لوفرز'!BM68</f>
        <v>264152.78500000003</v>
      </c>
      <c r="AU42" s="471"/>
      <c r="BD42" s="463" t="s">
        <v>649</v>
      </c>
      <c r="BE42" s="464">
        <f>'بيرسا و لوفرز'!BM139</f>
        <v>271609.15166666667</v>
      </c>
      <c r="BF42" s="471"/>
      <c r="BN42" s="407"/>
    </row>
    <row r="43" ht="42" customHeight="1">
      <c r="A43" s="826" t="s">
        <v>687</v>
      </c>
      <c r="B43" s="826"/>
      <c r="C43" s="826"/>
      <c r="D43" s="826"/>
      <c r="E43" s="826"/>
      <c r="F43" s="826"/>
      <c r="G43" s="826"/>
      <c r="H43" s="826"/>
      <c r="I43" s="826"/>
      <c r="J43" s="826"/>
      <c r="K43" s="826"/>
      <c r="L43" s="826"/>
      <c r="M43" s="826"/>
      <c r="N43" s="826"/>
      <c r="O43" s="826"/>
      <c r="P43" s="826"/>
      <c r="Q43" s="826"/>
      <c r="R43" s="855"/>
      <c r="S43" s="434" t="s">
        <v>649</v>
      </c>
      <c r="T43" s="435">
        <f>'شماسي و كانتليفر'!N51</f>
        <v>142025.40000000002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13207.639250000002</v>
      </c>
      <c r="AU43" s="471"/>
      <c r="AV43" s="472"/>
      <c r="BD43" s="463" t="s">
        <v>127</v>
      </c>
      <c r="BE43" s="465">
        <f>BE42/(BE53*BE54/10000)</f>
        <v>13580.457583333333</v>
      </c>
      <c r="BF43" s="471"/>
      <c r="BG43" s="472"/>
      <c r="BN43" s="407"/>
    </row>
    <row r="44" ht="42" customHeight="1">
      <c r="A44" s="826"/>
      <c r="B44" s="826"/>
      <c r="C44" s="826"/>
      <c r="D44" s="826"/>
      <c r="E44" s="826"/>
      <c r="F44" s="826"/>
      <c r="G44" s="826"/>
      <c r="H44" s="826"/>
      <c r="I44" s="826"/>
      <c r="J44" s="826"/>
      <c r="K44" s="826"/>
      <c r="L44" s="826"/>
      <c r="M44" s="826"/>
      <c r="N44" s="826"/>
      <c r="O44" s="826"/>
      <c r="P44" s="826"/>
      <c r="Q44" s="826"/>
      <c r="R44" s="855"/>
      <c r="S44" s="436" t="s">
        <v>127</v>
      </c>
      <c r="T44" s="435">
        <f>T43/T51</f>
        <v>2840.5080000000003</v>
      </c>
      <c r="U44" s="449"/>
      <c r="V44" s="449"/>
      <c r="W44" s="449"/>
      <c r="X44" s="449"/>
      <c r="Y44" s="841"/>
      <c r="Z44" s="841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26"/>
      <c r="B45" s="826"/>
      <c r="C45" s="826"/>
      <c r="D45" s="826"/>
      <c r="E45" s="826"/>
      <c r="F45" s="826"/>
      <c r="G45" s="826"/>
      <c r="H45" s="826"/>
      <c r="I45" s="826"/>
      <c r="J45" s="826"/>
      <c r="K45" s="826"/>
      <c r="L45" s="826"/>
      <c r="M45" s="826"/>
      <c r="N45" s="826"/>
      <c r="O45" s="826"/>
      <c r="P45" s="826"/>
      <c r="Q45" s="826"/>
      <c r="R45" s="855"/>
      <c r="S45" s="432" t="s">
        <v>650</v>
      </c>
      <c r="T45" s="433" t="s">
        <v>19</v>
      </c>
      <c r="U45" s="449"/>
      <c r="V45" s="449"/>
      <c r="W45" s="449"/>
      <c r="X45" s="449"/>
      <c r="Y45" s="841"/>
      <c r="Z45" s="841"/>
      <c r="AA45" s="449"/>
      <c r="AB45" s="449"/>
      <c r="AC45" s="449"/>
      <c r="AD45" s="626"/>
      <c r="AE45" s="454"/>
      <c r="AF45" s="860" t="s">
        <v>688</v>
      </c>
      <c r="AG45" s="860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689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26"/>
      <c r="B46" s="826"/>
      <c r="C46" s="826"/>
      <c r="D46" s="826"/>
      <c r="E46" s="826"/>
      <c r="F46" s="826"/>
      <c r="G46" s="826"/>
      <c r="H46" s="826"/>
      <c r="I46" s="826"/>
      <c r="J46" s="826"/>
      <c r="K46" s="826"/>
      <c r="L46" s="826"/>
      <c r="M46" s="826"/>
      <c r="N46" s="826"/>
      <c r="O46" s="826"/>
      <c r="P46" s="826"/>
      <c r="Q46" s="826"/>
      <c r="R46" s="855"/>
      <c r="S46" s="437" t="s">
        <v>609</v>
      </c>
      <c r="T46" s="438" t="s">
        <v>616</v>
      </c>
      <c r="U46" s="449"/>
      <c r="V46" s="449"/>
      <c r="W46" s="449"/>
      <c r="X46" s="449"/>
      <c r="Y46" s="841"/>
      <c r="Z46" s="841"/>
      <c r="AA46" s="449"/>
      <c r="AB46" s="449"/>
      <c r="AC46" s="449"/>
      <c r="AD46" s="626"/>
      <c r="AE46" s="454"/>
      <c r="AF46" s="860"/>
      <c r="AG46" s="860"/>
      <c r="AH46" s="787" t="s">
        <v>440</v>
      </c>
      <c r="AI46" s="787" t="s">
        <v>690</v>
      </c>
      <c r="AJ46" s="787" t="s">
        <v>691</v>
      </c>
      <c r="AK46" s="787" t="s">
        <v>234</v>
      </c>
      <c r="AL46" s="787" t="s">
        <v>230</v>
      </c>
      <c r="AM46" s="788" t="e">
        <f>'PERG. CS.'!G3</f>
        <v>#VALUE!</v>
      </c>
      <c r="AN46" s="788" t="e">
        <f>AM46/(Table115[[#This Row],[العرض]]*Table115[[#This Row],[الامتداد]]/10000)</f>
        <v>#VALUE!</v>
      </c>
      <c r="AO46" s="864" t="s">
        <v>662</v>
      </c>
      <c r="AP46" s="864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26"/>
      <c r="B47" s="826"/>
      <c r="C47" s="826"/>
      <c r="D47" s="826"/>
      <c r="E47" s="826"/>
      <c r="F47" s="826"/>
      <c r="G47" s="826"/>
      <c r="H47" s="826"/>
      <c r="I47" s="826"/>
      <c r="J47" s="826"/>
      <c r="K47" s="826"/>
      <c r="L47" s="826"/>
      <c r="M47" s="826"/>
      <c r="N47" s="826"/>
      <c r="O47" s="826"/>
      <c r="P47" s="826"/>
      <c r="Q47" s="826"/>
      <c r="R47" s="855"/>
      <c r="S47" s="432" t="s">
        <v>692</v>
      </c>
      <c r="T47" s="439">
        <v>2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60"/>
      <c r="AG47" s="860"/>
      <c r="AO47" s="864"/>
      <c r="AP47" s="864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61.8" customHeight="1">
      <c r="A48" s="826"/>
      <c r="B48" s="826"/>
      <c r="C48" s="826"/>
      <c r="D48" s="826"/>
      <c r="E48" s="826"/>
      <c r="F48" s="826"/>
      <c r="G48" s="826"/>
      <c r="H48" s="826"/>
      <c r="I48" s="826"/>
      <c r="J48" s="826"/>
      <c r="K48" s="826"/>
      <c r="L48" s="826"/>
      <c r="M48" s="826"/>
      <c r="N48" s="826"/>
      <c r="O48" s="826"/>
      <c r="P48" s="826"/>
      <c r="Q48" s="826"/>
      <c r="R48" s="855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693</v>
      </c>
      <c r="AH48" s="866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( 3.5 متر &amp; 4 متر ) و اقصي امتداد هو ( من 3.5 الي 6 متر )</v>
      </c>
      <c r="AI48" s="866"/>
      <c r="AJ48" s="866"/>
      <c r="AK48" s="866"/>
      <c r="AL48" s="867"/>
      <c r="AM48" s="868" t="str">
        <f>Table115[المنتج]</f>
        <v>PERSA</v>
      </c>
      <c r="AN48" s="869"/>
      <c r="AO48" s="864"/>
      <c r="AP48" s="864"/>
      <c r="AQ48" s="454"/>
      <c r="AR48" s="626"/>
      <c r="AS48" s="431"/>
      <c r="AT48" s="431"/>
      <c r="BD48" s="431"/>
      <c r="BE48" s="431"/>
      <c r="BN48" s="407"/>
    </row>
    <row r="49" ht="42" customHeight="1">
      <c r="A49" s="826"/>
      <c r="B49" s="826"/>
      <c r="C49" s="826"/>
      <c r="D49" s="826"/>
      <c r="E49" s="826"/>
      <c r="F49" s="826"/>
      <c r="G49" s="826"/>
      <c r="H49" s="826"/>
      <c r="I49" s="826"/>
      <c r="J49" s="826"/>
      <c r="K49" s="826"/>
      <c r="L49" s="826"/>
      <c r="M49" s="826"/>
      <c r="N49" s="826"/>
      <c r="O49" s="826"/>
      <c r="P49" s="826"/>
      <c r="Q49" s="826"/>
      <c r="R49" s="855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693</v>
      </c>
      <c r="AH49" s="851" t="s">
        <v>694</v>
      </c>
      <c r="AI49" s="851"/>
      <c r="AJ49" s="851"/>
      <c r="AK49" s="851"/>
      <c r="AL49" s="852"/>
      <c r="AM49" s="847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A motorized aluminum pergola with adjustable slats for sun-rain protection, available in wood or plain colors with built-in drainage</v>
      </c>
      <c r="AN49" s="848"/>
      <c r="AO49" s="865"/>
      <c r="AP49" s="865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26"/>
      <c r="B50" s="826"/>
      <c r="C50" s="826"/>
      <c r="D50" s="826"/>
      <c r="E50" s="826"/>
      <c r="F50" s="826"/>
      <c r="G50" s="826"/>
      <c r="H50" s="826"/>
      <c r="I50" s="826"/>
      <c r="J50" s="826"/>
      <c r="K50" s="826"/>
      <c r="L50" s="826"/>
      <c r="M50" s="826"/>
      <c r="N50" s="826"/>
      <c r="O50" s="826"/>
      <c r="P50" s="826"/>
      <c r="Q50" s="826"/>
      <c r="R50" s="855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693</v>
      </c>
      <c r="AH50" s="851" t="s">
        <v>695</v>
      </c>
      <c r="AI50" s="851"/>
      <c r="AJ50" s="851"/>
      <c r="AK50" s="851"/>
      <c r="AL50" s="852"/>
      <c r="AM50" s="847"/>
      <c r="AN50" s="848"/>
      <c r="AO50" s="863"/>
      <c r="AP50" s="863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26"/>
      <c r="B51" s="826"/>
      <c r="C51" s="826"/>
      <c r="D51" s="826"/>
      <c r="E51" s="826"/>
      <c r="F51" s="826"/>
      <c r="G51" s="826"/>
      <c r="H51" s="826"/>
      <c r="I51" s="826"/>
      <c r="J51" s="826"/>
      <c r="K51" s="826"/>
      <c r="L51" s="826"/>
      <c r="M51" s="826"/>
      <c r="N51" s="826"/>
      <c r="O51" s="826"/>
      <c r="P51" s="826"/>
      <c r="Q51" s="826"/>
      <c r="R51" s="855"/>
      <c r="S51" s="432" t="s">
        <v>696</v>
      </c>
      <c r="T51" s="444">
        <f>IF((T52="double"),(T54*T55/5000),(T54*T55/10000))</f>
        <v>50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693</v>
      </c>
      <c r="AH51" s="853" t="s">
        <v>697</v>
      </c>
      <c r="AI51" s="853"/>
      <c r="AJ51" s="853"/>
      <c r="AK51" s="853"/>
      <c r="AL51" s="854"/>
      <c r="AM51" s="849"/>
      <c r="AN51" s="850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26"/>
      <c r="B52" s="826"/>
      <c r="C52" s="826"/>
      <c r="D52" s="826"/>
      <c r="E52" s="826"/>
      <c r="F52" s="826"/>
      <c r="G52" s="826"/>
      <c r="H52" s="826"/>
      <c r="I52" s="826"/>
      <c r="J52" s="826"/>
      <c r="K52" s="826"/>
      <c r="L52" s="826"/>
      <c r="M52" s="826"/>
      <c r="N52" s="826"/>
      <c r="O52" s="826"/>
      <c r="P52" s="826"/>
      <c r="Q52" s="826"/>
      <c r="R52" s="855"/>
      <c r="S52" s="432" t="s">
        <v>698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26"/>
      <c r="B53" s="826"/>
      <c r="C53" s="826"/>
      <c r="D53" s="826"/>
      <c r="E53" s="826"/>
      <c r="F53" s="826"/>
      <c r="G53" s="826"/>
      <c r="H53" s="826"/>
      <c r="I53" s="826"/>
      <c r="J53" s="826"/>
      <c r="K53" s="826"/>
      <c r="L53" s="826"/>
      <c r="M53" s="826"/>
      <c r="N53" s="826"/>
      <c r="O53" s="826"/>
      <c r="P53" s="826"/>
      <c r="Q53" s="826"/>
      <c r="R53" s="855"/>
      <c r="S53" s="432" t="s">
        <v>660</v>
      </c>
      <c r="T53" s="444" t="s">
        <v>617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26"/>
      <c r="B54" s="826"/>
      <c r="C54" s="826"/>
      <c r="D54" s="826"/>
      <c r="E54" s="826"/>
      <c r="F54" s="826"/>
      <c r="G54" s="826"/>
      <c r="H54" s="826"/>
      <c r="I54" s="826"/>
      <c r="J54" s="826"/>
      <c r="K54" s="826"/>
      <c r="L54" s="826"/>
      <c r="M54" s="826"/>
      <c r="N54" s="826"/>
      <c r="O54" s="826"/>
      <c r="P54" s="826"/>
      <c r="Q54" s="826"/>
      <c r="R54" s="855"/>
      <c r="S54" s="432" t="s">
        <v>661</v>
      </c>
      <c r="T54" s="446">
        <v>1000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46"/>
      <c r="BA54" s="846"/>
      <c r="BB54" s="846"/>
      <c r="BD54" s="430" t="s">
        <v>664</v>
      </c>
      <c r="BE54" s="430">
        <v>400</v>
      </c>
      <c r="BF54" s="477"/>
      <c r="BK54" s="846"/>
      <c r="BL54" s="846"/>
      <c r="BM54" s="846"/>
      <c r="BN54" s="407"/>
    </row>
    <row r="55" ht="42" customHeight="1">
      <c r="A55" s="826"/>
      <c r="B55" s="826"/>
      <c r="C55" s="826"/>
      <c r="D55" s="826"/>
      <c r="E55" s="826"/>
      <c r="F55" s="826"/>
      <c r="G55" s="826"/>
      <c r="H55" s="826"/>
      <c r="I55" s="826"/>
      <c r="J55" s="826"/>
      <c r="K55" s="826"/>
      <c r="L55" s="826"/>
      <c r="M55" s="826"/>
      <c r="N55" s="826"/>
      <c r="O55" s="826"/>
      <c r="P55" s="826"/>
      <c r="Q55" s="826"/>
      <c r="R55" s="855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26"/>
      <c r="B56" s="826"/>
      <c r="C56" s="826"/>
      <c r="D56" s="826"/>
      <c r="E56" s="826"/>
      <c r="F56" s="826"/>
      <c r="G56" s="826"/>
      <c r="H56" s="826"/>
      <c r="I56" s="826"/>
      <c r="J56" s="826"/>
      <c r="K56" s="826"/>
      <c r="L56" s="826"/>
      <c r="M56" s="826"/>
      <c r="N56" s="826"/>
      <c r="O56" s="826"/>
      <c r="P56" s="826"/>
      <c r="Q56" s="826"/>
      <c r="R56" s="855"/>
      <c r="S56" s="449"/>
      <c r="T56" s="449"/>
      <c r="U56" s="449"/>
      <c r="V56" s="449"/>
      <c r="W56" s="451">
        <f>T54</f>
        <v>1000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26"/>
      <c r="B57" s="826"/>
      <c r="C57" s="826"/>
      <c r="D57" s="826"/>
      <c r="E57" s="826"/>
      <c r="F57" s="826"/>
      <c r="G57" s="826"/>
      <c r="H57" s="826"/>
      <c r="I57" s="826"/>
      <c r="J57" s="826"/>
      <c r="K57" s="826"/>
      <c r="L57" s="826"/>
      <c r="M57" s="826"/>
      <c r="N57" s="826"/>
      <c r="O57" s="826"/>
      <c r="P57" s="826"/>
      <c r="Q57" s="826"/>
      <c r="R57" s="855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70">
        <f>('بيرسا و لوفرز'!BA14+'بيرسا و لوفرز'!BP62+'بيرسا و لوفرز'!BQ54)*1.35</f>
        <v>171489.825</v>
      </c>
      <c r="AT57" s="871"/>
      <c r="BD57" s="870">
        <f>('بيرسا و لوفرز'!BA85+'بيرسا و لوفرز'!BP133+'بيرسا و لوفرز'!BQ125)*1.35</f>
        <v>171489.825</v>
      </c>
      <c r="BE57" s="871"/>
      <c r="BN57" s="407"/>
    </row>
    <row r="58" ht="42" customHeight="1">
      <c r="A58" s="826"/>
      <c r="B58" s="826"/>
      <c r="C58" s="826"/>
      <c r="D58" s="826"/>
      <c r="E58" s="826"/>
      <c r="F58" s="826"/>
      <c r="G58" s="826"/>
      <c r="H58" s="826"/>
      <c r="I58" s="826"/>
      <c r="J58" s="826"/>
      <c r="K58" s="826"/>
      <c r="L58" s="826"/>
      <c r="M58" s="826"/>
      <c r="N58" s="826"/>
      <c r="O58" s="826"/>
      <c r="P58" s="826"/>
      <c r="Q58" s="826"/>
      <c r="R58" s="855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42">
        <f>AS57/(AT53*AT54/10000)</f>
        <v>8574.4912500000009</v>
      </c>
      <c r="AT58" s="843"/>
      <c r="BD58" s="842">
        <f>BD57/(BE53*BE54/10000)</f>
        <v>8574.4912500000009</v>
      </c>
      <c r="BE58" s="843"/>
      <c r="BN58" s="407"/>
    </row>
    <row r="59" ht="75" customHeight="1">
      <c r="A59" s="826"/>
      <c r="B59" s="826"/>
      <c r="C59" s="826"/>
      <c r="D59" s="826"/>
      <c r="E59" s="826"/>
      <c r="F59" s="826"/>
      <c r="G59" s="826"/>
      <c r="H59" s="826"/>
      <c r="I59" s="826"/>
      <c r="J59" s="826"/>
      <c r="K59" s="826"/>
      <c r="L59" s="826"/>
      <c r="M59" s="826"/>
      <c r="N59" s="826"/>
      <c r="O59" s="826"/>
      <c r="P59" s="826"/>
      <c r="Q59" s="826"/>
      <c r="R59" s="855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26" t="s">
        <v>699</v>
      </c>
      <c r="B60" s="826"/>
      <c r="C60" s="826"/>
      <c r="D60" s="826"/>
      <c r="E60" s="826"/>
      <c r="F60" s="826"/>
      <c r="G60" s="826"/>
      <c r="H60" s="826"/>
      <c r="I60" s="826"/>
      <c r="J60" s="826"/>
      <c r="K60" s="826"/>
      <c r="L60" s="826"/>
      <c r="M60" s="826"/>
      <c r="N60" s="826"/>
      <c r="O60" s="826"/>
      <c r="P60" s="826"/>
      <c r="Q60" s="826"/>
      <c r="R60" s="855"/>
      <c r="S60" s="827" t="s">
        <v>686</v>
      </c>
      <c r="T60" s="828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26"/>
      <c r="B61" s="826"/>
      <c r="C61" s="826"/>
      <c r="D61" s="826"/>
      <c r="E61" s="826"/>
      <c r="F61" s="826"/>
      <c r="G61" s="826"/>
      <c r="H61" s="826"/>
      <c r="I61" s="826"/>
      <c r="J61" s="826"/>
      <c r="K61" s="826"/>
      <c r="L61" s="826"/>
      <c r="M61" s="826"/>
      <c r="N61" s="826"/>
      <c r="O61" s="826"/>
      <c r="P61" s="826"/>
      <c r="Q61" s="826"/>
      <c r="R61" s="855"/>
      <c r="S61" s="434" t="s">
        <v>649</v>
      </c>
      <c r="T61" s="435">
        <f>'شماسي و كانتليفر'!N84</f>
        <v>123548.75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26"/>
      <c r="B62" s="826"/>
      <c r="C62" s="826"/>
      <c r="D62" s="826"/>
      <c r="E62" s="826"/>
      <c r="F62" s="826"/>
      <c r="G62" s="826"/>
      <c r="H62" s="826"/>
      <c r="I62" s="826"/>
      <c r="J62" s="826"/>
      <c r="K62" s="826"/>
      <c r="L62" s="826"/>
      <c r="M62" s="826"/>
      <c r="N62" s="826"/>
      <c r="O62" s="826"/>
      <c r="P62" s="826"/>
      <c r="Q62" s="826"/>
      <c r="R62" s="855"/>
      <c r="S62" s="436" t="s">
        <v>127</v>
      </c>
      <c r="T62" s="435">
        <f>T61/T69</f>
        <v>4941.95</v>
      </c>
      <c r="U62" s="449"/>
      <c r="V62" s="449"/>
      <c r="W62" s="449"/>
      <c r="X62" s="449"/>
      <c r="Y62" s="841"/>
      <c r="Z62" s="841"/>
      <c r="AA62" s="449"/>
      <c r="AB62" s="449"/>
      <c r="AC62" s="449"/>
      <c r="AQ62" s="406"/>
      <c r="BN62" s="407"/>
    </row>
    <row r="63" ht="28.8">
      <c r="A63" s="826"/>
      <c r="B63" s="826"/>
      <c r="C63" s="826"/>
      <c r="D63" s="826"/>
      <c r="E63" s="826"/>
      <c r="F63" s="826"/>
      <c r="G63" s="826"/>
      <c r="H63" s="826"/>
      <c r="I63" s="826"/>
      <c r="J63" s="826"/>
      <c r="K63" s="826"/>
      <c r="L63" s="826"/>
      <c r="M63" s="826"/>
      <c r="N63" s="826"/>
      <c r="O63" s="826"/>
      <c r="P63" s="826"/>
      <c r="Q63" s="826"/>
      <c r="R63" s="855"/>
      <c r="S63" s="432" t="s">
        <v>650</v>
      </c>
      <c r="T63" s="433" t="s">
        <v>21</v>
      </c>
      <c r="U63" s="449"/>
      <c r="V63" s="449"/>
      <c r="W63" s="449"/>
      <c r="X63" s="449"/>
      <c r="Y63" s="841"/>
      <c r="Z63" s="841"/>
      <c r="AA63" s="449"/>
      <c r="AB63" s="449"/>
      <c r="AC63" s="449"/>
      <c r="AQ63" s="406"/>
      <c r="BN63" s="407"/>
    </row>
    <row r="64" ht="28.8">
      <c r="A64" s="826"/>
      <c r="B64" s="826"/>
      <c r="C64" s="826"/>
      <c r="D64" s="826"/>
      <c r="E64" s="826"/>
      <c r="F64" s="826"/>
      <c r="G64" s="826"/>
      <c r="H64" s="826"/>
      <c r="I64" s="826"/>
      <c r="J64" s="826"/>
      <c r="K64" s="826"/>
      <c r="L64" s="826"/>
      <c r="M64" s="826"/>
      <c r="N64" s="826"/>
      <c r="O64" s="826"/>
      <c r="P64" s="826"/>
      <c r="Q64" s="826"/>
      <c r="R64" s="855"/>
      <c r="S64" s="437" t="s">
        <v>609</v>
      </c>
      <c r="T64" s="438" t="s">
        <v>616</v>
      </c>
      <c r="U64" s="449"/>
      <c r="V64" s="449"/>
      <c r="W64" s="449"/>
      <c r="X64" s="449"/>
      <c r="Y64" s="841"/>
      <c r="Z64" s="841"/>
      <c r="AA64" s="449"/>
      <c r="AB64" s="449"/>
      <c r="AC64" s="449"/>
      <c r="AQ64" s="406"/>
      <c r="BN64" s="407"/>
    </row>
    <row r="65" ht="28.8">
      <c r="A65" s="826"/>
      <c r="B65" s="826"/>
      <c r="C65" s="826"/>
      <c r="D65" s="826"/>
      <c r="E65" s="826"/>
      <c r="F65" s="826"/>
      <c r="G65" s="826"/>
      <c r="H65" s="826"/>
      <c r="I65" s="826"/>
      <c r="J65" s="826"/>
      <c r="K65" s="826"/>
      <c r="L65" s="826"/>
      <c r="M65" s="826"/>
      <c r="N65" s="826"/>
      <c r="O65" s="826"/>
      <c r="P65" s="826"/>
      <c r="Q65" s="826"/>
      <c r="R65" s="855"/>
      <c r="S65" s="432" t="s">
        <v>692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26"/>
      <c r="B66" s="826"/>
      <c r="C66" s="826"/>
      <c r="D66" s="826"/>
      <c r="E66" s="826"/>
      <c r="F66" s="826"/>
      <c r="G66" s="826"/>
      <c r="H66" s="826"/>
      <c r="I66" s="826"/>
      <c r="J66" s="826"/>
      <c r="K66" s="826"/>
      <c r="L66" s="826"/>
      <c r="M66" s="826"/>
      <c r="N66" s="826"/>
      <c r="O66" s="826"/>
      <c r="P66" s="826"/>
      <c r="Q66" s="826"/>
      <c r="R66" s="855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26"/>
      <c r="B67" s="826"/>
      <c r="C67" s="826"/>
      <c r="D67" s="826"/>
      <c r="E67" s="826"/>
      <c r="F67" s="826"/>
      <c r="G67" s="826"/>
      <c r="H67" s="826"/>
      <c r="I67" s="826"/>
      <c r="J67" s="826"/>
      <c r="K67" s="826"/>
      <c r="L67" s="826"/>
      <c r="M67" s="826"/>
      <c r="N67" s="826"/>
      <c r="O67" s="826"/>
      <c r="P67" s="826"/>
      <c r="Q67" s="826"/>
      <c r="R67" s="855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26"/>
      <c r="B68" s="826"/>
      <c r="C68" s="826"/>
      <c r="D68" s="826"/>
      <c r="E68" s="826"/>
      <c r="F68" s="826"/>
      <c r="G68" s="826"/>
      <c r="H68" s="826"/>
      <c r="I68" s="826"/>
      <c r="J68" s="826"/>
      <c r="K68" s="826"/>
      <c r="L68" s="826"/>
      <c r="M68" s="826"/>
      <c r="N68" s="826"/>
      <c r="O68" s="826"/>
      <c r="P68" s="826"/>
      <c r="Q68" s="826"/>
      <c r="R68" s="855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26"/>
      <c r="B69" s="826"/>
      <c r="C69" s="826"/>
      <c r="D69" s="826"/>
      <c r="E69" s="826"/>
      <c r="F69" s="826"/>
      <c r="G69" s="826"/>
      <c r="H69" s="826"/>
      <c r="I69" s="826"/>
      <c r="J69" s="826"/>
      <c r="K69" s="826"/>
      <c r="L69" s="826"/>
      <c r="M69" s="826"/>
      <c r="N69" s="826"/>
      <c r="O69" s="826"/>
      <c r="P69" s="826"/>
      <c r="Q69" s="826"/>
      <c r="R69" s="855"/>
      <c r="S69" s="432" t="s">
        <v>696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26"/>
      <c r="B70" s="826"/>
      <c r="C70" s="826"/>
      <c r="D70" s="826"/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826"/>
      <c r="P70" s="826"/>
      <c r="Q70" s="826"/>
      <c r="R70" s="855"/>
      <c r="S70" s="432" t="s">
        <v>698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26"/>
      <c r="B71" s="826"/>
      <c r="C71" s="826"/>
      <c r="D71" s="826"/>
      <c r="E71" s="826"/>
      <c r="F71" s="826"/>
      <c r="G71" s="826"/>
      <c r="H71" s="826"/>
      <c r="I71" s="826"/>
      <c r="J71" s="826"/>
      <c r="K71" s="826"/>
      <c r="L71" s="826"/>
      <c r="M71" s="826"/>
      <c r="N71" s="826"/>
      <c r="O71" s="826"/>
      <c r="P71" s="826"/>
      <c r="Q71" s="826"/>
      <c r="R71" s="855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26"/>
      <c r="B72" s="826"/>
      <c r="C72" s="826"/>
      <c r="D72" s="826"/>
      <c r="E72" s="826"/>
      <c r="F72" s="826"/>
      <c r="G72" s="826"/>
      <c r="H72" s="826"/>
      <c r="I72" s="826"/>
      <c r="J72" s="826"/>
      <c r="K72" s="826"/>
      <c r="L72" s="826"/>
      <c r="M72" s="826"/>
      <c r="N72" s="826"/>
      <c r="O72" s="826"/>
      <c r="P72" s="826"/>
      <c r="Q72" s="826"/>
      <c r="R72" s="855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26"/>
      <c r="B73" s="826"/>
      <c r="C73" s="826"/>
      <c r="D73" s="826"/>
      <c r="E73" s="826"/>
      <c r="F73" s="826"/>
      <c r="G73" s="826"/>
      <c r="H73" s="826"/>
      <c r="I73" s="826"/>
      <c r="J73" s="826"/>
      <c r="K73" s="826"/>
      <c r="L73" s="826"/>
      <c r="M73" s="826"/>
      <c r="N73" s="826"/>
      <c r="O73" s="826"/>
      <c r="P73" s="826"/>
      <c r="Q73" s="826"/>
      <c r="R73" s="855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26"/>
      <c r="B74" s="826"/>
      <c r="C74" s="826"/>
      <c r="D74" s="826"/>
      <c r="E74" s="826"/>
      <c r="F74" s="826"/>
      <c r="G74" s="826"/>
      <c r="H74" s="826"/>
      <c r="I74" s="826"/>
      <c r="J74" s="826"/>
      <c r="K74" s="826"/>
      <c r="L74" s="826"/>
      <c r="M74" s="826"/>
      <c r="N74" s="826"/>
      <c r="O74" s="826"/>
      <c r="P74" s="826"/>
      <c r="Q74" s="826"/>
      <c r="R74" s="855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26"/>
      <c r="B75" s="826"/>
      <c r="C75" s="826"/>
      <c r="D75" s="826"/>
      <c r="E75" s="826"/>
      <c r="F75" s="826"/>
      <c r="G75" s="826"/>
      <c r="H75" s="826"/>
      <c r="I75" s="826"/>
      <c r="J75" s="826"/>
      <c r="K75" s="826"/>
      <c r="L75" s="826"/>
      <c r="M75" s="826"/>
      <c r="N75" s="826"/>
      <c r="O75" s="826"/>
      <c r="P75" s="826"/>
      <c r="Q75" s="826"/>
      <c r="R75" s="855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26"/>
      <c r="B76" s="826"/>
      <c r="C76" s="826"/>
      <c r="D76" s="826"/>
      <c r="E76" s="826"/>
      <c r="F76" s="826"/>
      <c r="G76" s="826"/>
      <c r="H76" s="826"/>
      <c r="I76" s="826"/>
      <c r="J76" s="826"/>
      <c r="K76" s="826"/>
      <c r="L76" s="826"/>
      <c r="M76" s="826"/>
      <c r="N76" s="826"/>
      <c r="O76" s="826"/>
      <c r="P76" s="826"/>
      <c r="Q76" s="826"/>
      <c r="R76" s="855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5"/>
      <c r="AR77" s="406"/>
      <c r="BN77" s="407"/>
    </row>
    <row r="78" ht="15" customHeight="1">
      <c r="A78" s="823" t="s">
        <v>440</v>
      </c>
      <c r="B78" s="823"/>
      <c r="C78" s="823"/>
      <c r="D78" s="823"/>
      <c r="E78" s="823"/>
      <c r="F78" s="823"/>
      <c r="G78" s="823"/>
      <c r="H78" s="823"/>
      <c r="I78" s="823"/>
      <c r="J78" s="823"/>
      <c r="K78" s="823"/>
      <c r="L78" s="823"/>
      <c r="M78" s="823"/>
      <c r="N78" s="823"/>
      <c r="O78" s="823"/>
      <c r="P78" s="823"/>
      <c r="Q78" s="823"/>
      <c r="R78" s="855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23"/>
      <c r="B79" s="823"/>
      <c r="C79" s="823"/>
      <c r="D79" s="823"/>
      <c r="E79" s="823"/>
      <c r="F79" s="823"/>
      <c r="G79" s="823"/>
      <c r="H79" s="823"/>
      <c r="I79" s="823"/>
      <c r="J79" s="823"/>
      <c r="K79" s="823"/>
      <c r="L79" s="823"/>
      <c r="M79" s="823"/>
      <c r="N79" s="823"/>
      <c r="O79" s="823"/>
      <c r="P79" s="823"/>
      <c r="Q79" s="823"/>
      <c r="R79" s="855"/>
      <c r="AC79" s="406"/>
      <c r="AR79" s="406"/>
      <c r="BB79" s="406"/>
      <c r="BM79" s="407"/>
    </row>
    <row r="80" ht="38.25" customHeight="1">
      <c r="A80" s="823"/>
      <c r="B80" s="823"/>
      <c r="C80" s="823"/>
      <c r="D80" s="823"/>
      <c r="E80" s="823"/>
      <c r="F80" s="823"/>
      <c r="G80" s="823"/>
      <c r="H80" s="823"/>
      <c r="I80" s="823"/>
      <c r="J80" s="823"/>
      <c r="K80" s="823"/>
      <c r="L80" s="823"/>
      <c r="M80" s="823"/>
      <c r="N80" s="823"/>
      <c r="O80" s="823"/>
      <c r="P80" s="823"/>
      <c r="Q80" s="823"/>
      <c r="R80" s="855"/>
      <c r="AR80" s="406"/>
      <c r="BB80" s="406"/>
      <c r="BM80" s="407"/>
    </row>
    <row r="81" ht="38.25" customHeight="1">
      <c r="A81" s="823"/>
      <c r="B81" s="823"/>
      <c r="C81" s="823"/>
      <c r="D81" s="823"/>
      <c r="E81" s="823"/>
      <c r="F81" s="823"/>
      <c r="G81" s="823"/>
      <c r="H81" s="823"/>
      <c r="I81" s="823"/>
      <c r="J81" s="823"/>
      <c r="K81" s="823"/>
      <c r="L81" s="823"/>
      <c r="M81" s="823"/>
      <c r="N81" s="823"/>
      <c r="O81" s="823"/>
      <c r="P81" s="823"/>
      <c r="Q81" s="823"/>
      <c r="R81" s="855"/>
      <c r="AR81" s="406"/>
      <c r="BB81" s="406"/>
      <c r="BM81" s="407"/>
    </row>
    <row r="82" ht="38.25" customHeight="1">
      <c r="A82" s="823"/>
      <c r="B82" s="823"/>
      <c r="C82" s="823"/>
      <c r="D82" s="823"/>
      <c r="E82" s="823"/>
      <c r="F82" s="823"/>
      <c r="G82" s="823"/>
      <c r="H82" s="823"/>
      <c r="I82" s="823"/>
      <c r="J82" s="823"/>
      <c r="K82" s="823"/>
      <c r="L82" s="823"/>
      <c r="M82" s="823"/>
      <c r="N82" s="823"/>
      <c r="O82" s="823"/>
      <c r="P82" s="823"/>
      <c r="Q82" s="823"/>
      <c r="R82" s="855"/>
      <c r="AR82" s="406"/>
      <c r="BB82" s="406"/>
      <c r="BM82" s="407"/>
    </row>
    <row r="83" ht="38.25" customHeight="1">
      <c r="A83" s="823"/>
      <c r="B83" s="823"/>
      <c r="C83" s="823"/>
      <c r="D83" s="823"/>
      <c r="E83" s="823"/>
      <c r="F83" s="823"/>
      <c r="G83" s="823"/>
      <c r="H83" s="823"/>
      <c r="I83" s="823"/>
      <c r="J83" s="823"/>
      <c r="K83" s="823"/>
      <c r="L83" s="823"/>
      <c r="M83" s="823"/>
      <c r="N83" s="823"/>
      <c r="O83" s="823"/>
      <c r="P83" s="823"/>
      <c r="Q83" s="823"/>
      <c r="R83" s="855"/>
      <c r="AR83" s="406"/>
      <c r="BB83" s="406"/>
      <c r="BM83" s="407"/>
    </row>
    <row r="84" ht="38.25" customHeight="1">
      <c r="A84" s="823"/>
      <c r="B84" s="823"/>
      <c r="C84" s="823"/>
      <c r="D84" s="823"/>
      <c r="E84" s="823"/>
      <c r="F84" s="823"/>
      <c r="G84" s="823"/>
      <c r="H84" s="823"/>
      <c r="I84" s="823"/>
      <c r="J84" s="823"/>
      <c r="K84" s="823"/>
      <c r="L84" s="823"/>
      <c r="M84" s="823"/>
      <c r="N84" s="823"/>
      <c r="O84" s="823"/>
      <c r="P84" s="823"/>
      <c r="Q84" s="823"/>
      <c r="R84" s="855"/>
      <c r="AR84" s="406"/>
      <c r="BB84" s="406"/>
      <c r="BM84" s="407"/>
    </row>
    <row r="85" ht="38.25" customHeight="1">
      <c r="A85" s="823"/>
      <c r="B85" s="823"/>
      <c r="C85" s="823"/>
      <c r="D85" s="823"/>
      <c r="E85" s="823"/>
      <c r="F85" s="823"/>
      <c r="G85" s="823"/>
      <c r="H85" s="823"/>
      <c r="I85" s="823"/>
      <c r="J85" s="823"/>
      <c r="K85" s="823"/>
      <c r="L85" s="823"/>
      <c r="M85" s="823"/>
      <c r="N85" s="823"/>
      <c r="O85" s="823"/>
      <c r="P85" s="823"/>
      <c r="Q85" s="823"/>
      <c r="R85" s="855"/>
      <c r="AR85" s="406"/>
      <c r="BB85" s="406"/>
      <c r="BM85" s="407"/>
    </row>
    <row r="86" ht="38.25" customHeight="1">
      <c r="A86" s="823"/>
      <c r="B86" s="823"/>
      <c r="C86" s="823"/>
      <c r="D86" s="823"/>
      <c r="E86" s="823"/>
      <c r="F86" s="823"/>
      <c r="G86" s="823"/>
      <c r="H86" s="823"/>
      <c r="I86" s="823"/>
      <c r="J86" s="823"/>
      <c r="K86" s="823"/>
      <c r="L86" s="823"/>
      <c r="M86" s="823"/>
      <c r="N86" s="823"/>
      <c r="O86" s="823"/>
      <c r="P86" s="823"/>
      <c r="Q86" s="823"/>
      <c r="R86" s="855"/>
      <c r="AR86" s="406"/>
      <c r="BB86" s="406"/>
      <c r="BM86" s="407"/>
    </row>
    <row r="87" ht="38.25" customHeight="1">
      <c r="A87" s="823"/>
      <c r="B87" s="823"/>
      <c r="C87" s="823"/>
      <c r="D87" s="823"/>
      <c r="E87" s="823"/>
      <c r="F87" s="823"/>
      <c r="G87" s="823"/>
      <c r="H87" s="823"/>
      <c r="I87" s="823"/>
      <c r="J87" s="823"/>
      <c r="K87" s="823"/>
      <c r="L87" s="823"/>
      <c r="M87" s="823"/>
      <c r="N87" s="823"/>
      <c r="O87" s="823"/>
      <c r="P87" s="823"/>
      <c r="Q87" s="823"/>
      <c r="R87" s="855"/>
      <c r="AR87" s="406"/>
      <c r="BB87" s="406"/>
      <c r="BM87" s="407"/>
    </row>
    <row r="88" ht="38.25" customHeight="1">
      <c r="A88" s="823"/>
      <c r="B88" s="823"/>
      <c r="C88" s="823"/>
      <c r="D88" s="823"/>
      <c r="E88" s="823"/>
      <c r="F88" s="823"/>
      <c r="G88" s="823"/>
      <c r="H88" s="823"/>
      <c r="I88" s="823"/>
      <c r="J88" s="823"/>
      <c r="K88" s="823"/>
      <c r="L88" s="823"/>
      <c r="M88" s="823"/>
      <c r="N88" s="823"/>
      <c r="O88" s="823"/>
      <c r="P88" s="823"/>
      <c r="Q88" s="823"/>
      <c r="R88" s="855"/>
      <c r="AR88" s="406"/>
      <c r="BB88" s="406"/>
      <c r="BM88" s="407"/>
    </row>
    <row r="89" ht="38.25" customHeight="1">
      <c r="A89" s="823"/>
      <c r="B89" s="823"/>
      <c r="C89" s="823"/>
      <c r="D89" s="823"/>
      <c r="E89" s="823"/>
      <c r="F89" s="823"/>
      <c r="G89" s="823"/>
      <c r="H89" s="823"/>
      <c r="I89" s="823"/>
      <c r="J89" s="823"/>
      <c r="K89" s="823"/>
      <c r="L89" s="823"/>
      <c r="M89" s="823"/>
      <c r="N89" s="823"/>
      <c r="O89" s="823"/>
      <c r="P89" s="823"/>
      <c r="Q89" s="823"/>
      <c r="R89" s="855"/>
      <c r="AR89" s="406"/>
      <c r="BB89" s="406"/>
      <c r="BM89" s="407"/>
    </row>
    <row r="90" ht="38.25" customHeight="1">
      <c r="A90" s="823"/>
      <c r="B90" s="823"/>
      <c r="C90" s="823"/>
      <c r="D90" s="823"/>
      <c r="E90" s="823"/>
      <c r="F90" s="823"/>
      <c r="G90" s="823"/>
      <c r="H90" s="823"/>
      <c r="I90" s="823"/>
      <c r="J90" s="823"/>
      <c r="K90" s="823"/>
      <c r="L90" s="823"/>
      <c r="M90" s="823"/>
      <c r="N90" s="823"/>
      <c r="O90" s="823"/>
      <c r="P90" s="823"/>
      <c r="Q90" s="823"/>
      <c r="R90" s="855"/>
      <c r="AR90" s="406"/>
      <c r="BB90" s="406"/>
      <c r="BM90" s="407"/>
    </row>
    <row r="91" ht="38.25" customHeight="1">
      <c r="A91" s="823"/>
      <c r="B91" s="823"/>
      <c r="C91" s="823"/>
      <c r="D91" s="823"/>
      <c r="E91" s="823"/>
      <c r="F91" s="823"/>
      <c r="G91" s="823"/>
      <c r="H91" s="823"/>
      <c r="I91" s="823"/>
      <c r="J91" s="823"/>
      <c r="K91" s="823"/>
      <c r="L91" s="823"/>
      <c r="M91" s="823"/>
      <c r="N91" s="823"/>
      <c r="O91" s="823"/>
      <c r="P91" s="823"/>
      <c r="Q91" s="823"/>
      <c r="R91" s="855"/>
      <c r="AR91" s="406"/>
      <c r="BB91" s="406"/>
      <c r="BM91" s="407"/>
    </row>
    <row r="92" ht="38.25" customHeight="1">
      <c r="A92" s="823"/>
      <c r="B92" s="823"/>
      <c r="C92" s="823"/>
      <c r="D92" s="823"/>
      <c r="E92" s="823"/>
      <c r="F92" s="823"/>
      <c r="G92" s="823"/>
      <c r="H92" s="823"/>
      <c r="I92" s="823"/>
      <c r="J92" s="823"/>
      <c r="K92" s="823"/>
      <c r="L92" s="823"/>
      <c r="M92" s="823"/>
      <c r="N92" s="823"/>
      <c r="O92" s="823"/>
      <c r="P92" s="823"/>
      <c r="Q92" s="823"/>
      <c r="R92" s="855"/>
      <c r="AR92" s="406"/>
      <c r="BB92" s="406"/>
      <c r="BM92" s="407"/>
    </row>
    <row r="93" ht="38.25" customHeight="1">
      <c r="A93" s="823"/>
      <c r="B93" s="823"/>
      <c r="C93" s="823"/>
      <c r="D93" s="823"/>
      <c r="E93" s="823"/>
      <c r="F93" s="823"/>
      <c r="G93" s="823"/>
      <c r="H93" s="823"/>
      <c r="I93" s="823"/>
      <c r="J93" s="823"/>
      <c r="K93" s="823"/>
      <c r="L93" s="823"/>
      <c r="M93" s="823"/>
      <c r="N93" s="823"/>
      <c r="O93" s="823"/>
      <c r="P93" s="823"/>
      <c r="Q93" s="823"/>
      <c r="R93" s="855"/>
      <c r="AR93" s="406"/>
      <c r="BB93" s="406"/>
      <c r="BM93" s="407"/>
    </row>
    <row r="94" ht="38.25" customHeight="1">
      <c r="A94" s="823"/>
      <c r="B94" s="823"/>
      <c r="C94" s="823"/>
      <c r="D94" s="823"/>
      <c r="E94" s="823"/>
      <c r="F94" s="823"/>
      <c r="G94" s="823"/>
      <c r="H94" s="823"/>
      <c r="I94" s="823"/>
      <c r="J94" s="823"/>
      <c r="K94" s="823"/>
      <c r="L94" s="823"/>
      <c r="M94" s="823"/>
      <c r="N94" s="823"/>
      <c r="O94" s="823"/>
      <c r="P94" s="823"/>
      <c r="Q94" s="823"/>
      <c r="R94" s="855"/>
      <c r="AR94" s="406"/>
      <c r="BB94" s="406"/>
      <c r="BM94" s="407"/>
    </row>
    <row r="95" ht="38.25" customHeight="1">
      <c r="A95" s="823"/>
      <c r="B95" s="823"/>
      <c r="C95" s="823"/>
      <c r="D95" s="823"/>
      <c r="E95" s="823"/>
      <c r="F95" s="823"/>
      <c r="G95" s="823"/>
      <c r="H95" s="823"/>
      <c r="I95" s="823"/>
      <c r="J95" s="823"/>
      <c r="K95" s="823"/>
      <c r="L95" s="823"/>
      <c r="M95" s="823"/>
      <c r="N95" s="823"/>
      <c r="O95" s="823"/>
      <c r="P95" s="823"/>
      <c r="Q95" s="823"/>
      <c r="R95" s="855"/>
      <c r="AR95" s="406"/>
      <c r="BB95" s="406"/>
      <c r="BM95" s="407"/>
    </row>
    <row r="96" ht="38.25" customHeight="1">
      <c r="A96" s="823"/>
      <c r="B96" s="823"/>
      <c r="C96" s="823"/>
      <c r="D96" s="823"/>
      <c r="E96" s="823"/>
      <c r="F96" s="823"/>
      <c r="G96" s="823"/>
      <c r="H96" s="823"/>
      <c r="I96" s="823"/>
      <c r="J96" s="823"/>
      <c r="K96" s="823"/>
      <c r="L96" s="823"/>
      <c r="M96" s="823"/>
      <c r="N96" s="823"/>
      <c r="O96" s="823"/>
      <c r="P96" s="823"/>
      <c r="Q96" s="823"/>
      <c r="R96" s="855"/>
      <c r="AR96" s="406"/>
      <c r="BB96" s="406"/>
      <c r="BM96" s="407"/>
    </row>
    <row r="97" ht="39" customHeight="1">
      <c r="A97" s="823"/>
      <c r="B97" s="823"/>
      <c r="C97" s="823"/>
      <c r="D97" s="823"/>
      <c r="E97" s="823"/>
      <c r="F97" s="823"/>
      <c r="G97" s="823"/>
      <c r="H97" s="823"/>
      <c r="I97" s="823"/>
      <c r="J97" s="823"/>
      <c r="K97" s="823"/>
      <c r="L97" s="823"/>
      <c r="M97" s="823"/>
      <c r="N97" s="823"/>
      <c r="O97" s="823"/>
      <c r="P97" s="823"/>
      <c r="Q97" s="823"/>
      <c r="R97" s="855"/>
      <c r="AR97" s="406"/>
      <c r="BB97" s="406"/>
      <c r="BM97" s="407"/>
    </row>
    <row r="98" ht="39" customHeight="1">
      <c r="A98" s="823" t="s">
        <v>700</v>
      </c>
      <c r="B98" s="823"/>
      <c r="C98" s="823"/>
      <c r="D98" s="823"/>
      <c r="E98" s="823"/>
      <c r="F98" s="823"/>
      <c r="G98" s="823"/>
      <c r="H98" s="823"/>
      <c r="I98" s="823"/>
      <c r="J98" s="823"/>
      <c r="K98" s="823"/>
      <c r="L98" s="823"/>
      <c r="M98" s="823"/>
      <c r="N98" s="823"/>
      <c r="O98" s="823"/>
      <c r="P98" s="823"/>
      <c r="Q98" s="823"/>
      <c r="R98" s="855"/>
      <c r="AR98" s="406"/>
      <c r="BN98" s="407"/>
    </row>
    <row r="99" ht="39" customHeight="1">
      <c r="A99" s="823"/>
      <c r="B99" s="823"/>
      <c r="C99" s="823"/>
      <c r="D99" s="823"/>
      <c r="E99" s="823"/>
      <c r="F99" s="823"/>
      <c r="G99" s="823"/>
      <c r="H99" s="823"/>
      <c r="I99" s="823"/>
      <c r="J99" s="823"/>
      <c r="K99" s="823"/>
      <c r="L99" s="823"/>
      <c r="M99" s="823"/>
      <c r="N99" s="823"/>
      <c r="O99" s="823"/>
      <c r="P99" s="823"/>
      <c r="Q99" s="823"/>
      <c r="R99" s="855"/>
      <c r="AR99" s="406"/>
      <c r="BN99" s="407"/>
    </row>
    <row r="100" ht="39" customHeight="1">
      <c r="A100" s="823"/>
      <c r="B100" s="823"/>
      <c r="C100" s="823"/>
      <c r="D100" s="823"/>
      <c r="E100" s="823"/>
      <c r="F100" s="823"/>
      <c r="G100" s="823"/>
      <c r="H100" s="823"/>
      <c r="I100" s="823"/>
      <c r="J100" s="823"/>
      <c r="K100" s="823"/>
      <c r="L100" s="823"/>
      <c r="M100" s="823"/>
      <c r="N100" s="823"/>
      <c r="O100" s="823"/>
      <c r="P100" s="823"/>
      <c r="Q100" s="823"/>
      <c r="R100" s="855"/>
      <c r="AR100" s="406"/>
      <c r="BN100" s="407"/>
    </row>
    <row r="101" ht="39" customHeight="1">
      <c r="A101" s="823"/>
      <c r="B101" s="823"/>
      <c r="C101" s="823"/>
      <c r="D101" s="823"/>
      <c r="E101" s="823"/>
      <c r="F101" s="823"/>
      <c r="G101" s="823"/>
      <c r="H101" s="823"/>
      <c r="I101" s="823"/>
      <c r="J101" s="823"/>
      <c r="K101" s="823"/>
      <c r="L101" s="823"/>
      <c r="M101" s="823"/>
      <c r="N101" s="823"/>
      <c r="O101" s="823"/>
      <c r="P101" s="823"/>
      <c r="Q101" s="823"/>
      <c r="R101" s="855"/>
      <c r="AR101" s="406"/>
      <c r="BN101" s="407"/>
    </row>
    <row r="102" ht="39" customHeight="1">
      <c r="A102" s="823"/>
      <c r="B102" s="823"/>
      <c r="C102" s="823"/>
      <c r="D102" s="823"/>
      <c r="E102" s="823"/>
      <c r="F102" s="823"/>
      <c r="G102" s="823"/>
      <c r="H102" s="823"/>
      <c r="I102" s="823"/>
      <c r="J102" s="823"/>
      <c r="K102" s="823"/>
      <c r="L102" s="823"/>
      <c r="M102" s="823"/>
      <c r="N102" s="823"/>
      <c r="O102" s="823"/>
      <c r="P102" s="823"/>
      <c r="Q102" s="823"/>
      <c r="R102" s="855"/>
      <c r="AR102" s="406"/>
      <c r="BN102" s="407"/>
    </row>
    <row r="103" ht="39" customHeight="1">
      <c r="A103" s="823"/>
      <c r="B103" s="823"/>
      <c r="C103" s="823"/>
      <c r="D103" s="823"/>
      <c r="E103" s="823"/>
      <c r="F103" s="823"/>
      <c r="G103" s="823"/>
      <c r="H103" s="823"/>
      <c r="I103" s="823"/>
      <c r="J103" s="823"/>
      <c r="K103" s="823"/>
      <c r="L103" s="823"/>
      <c r="M103" s="823"/>
      <c r="N103" s="823"/>
      <c r="O103" s="823"/>
      <c r="P103" s="823"/>
      <c r="Q103" s="823"/>
      <c r="R103" s="855"/>
      <c r="AR103" s="406"/>
      <c r="BN103" s="407"/>
    </row>
    <row r="104" ht="39" customHeight="1">
      <c r="A104" s="823"/>
      <c r="B104" s="823"/>
      <c r="C104" s="823"/>
      <c r="D104" s="823"/>
      <c r="E104" s="823"/>
      <c r="F104" s="823"/>
      <c r="G104" s="823"/>
      <c r="H104" s="823"/>
      <c r="I104" s="823"/>
      <c r="J104" s="823"/>
      <c r="K104" s="823"/>
      <c r="L104" s="823"/>
      <c r="M104" s="823"/>
      <c r="N104" s="823"/>
      <c r="O104" s="823"/>
      <c r="P104" s="823"/>
      <c r="Q104" s="823"/>
      <c r="R104" s="855"/>
      <c r="AR104" s="406"/>
      <c r="BN104" s="407"/>
    </row>
    <row r="105" ht="39" customHeight="1">
      <c r="A105" s="823"/>
      <c r="B105" s="823"/>
      <c r="C105" s="823"/>
      <c r="D105" s="823"/>
      <c r="E105" s="823"/>
      <c r="F105" s="823"/>
      <c r="G105" s="823"/>
      <c r="H105" s="823"/>
      <c r="I105" s="823"/>
      <c r="J105" s="823"/>
      <c r="K105" s="823"/>
      <c r="L105" s="823"/>
      <c r="M105" s="823"/>
      <c r="N105" s="823"/>
      <c r="O105" s="823"/>
      <c r="P105" s="823"/>
      <c r="Q105" s="823"/>
      <c r="R105" s="855"/>
      <c r="AR105" s="406"/>
      <c r="BN105" s="407"/>
    </row>
    <row r="106" ht="39" customHeight="1">
      <c r="A106" s="823"/>
      <c r="B106" s="823"/>
      <c r="C106" s="823"/>
      <c r="D106" s="823"/>
      <c r="E106" s="823"/>
      <c r="F106" s="823"/>
      <c r="G106" s="823"/>
      <c r="H106" s="823"/>
      <c r="I106" s="823"/>
      <c r="J106" s="823"/>
      <c r="K106" s="823"/>
      <c r="L106" s="823"/>
      <c r="M106" s="823"/>
      <c r="N106" s="823"/>
      <c r="O106" s="823"/>
      <c r="P106" s="823"/>
      <c r="Q106" s="823"/>
      <c r="R106" s="855"/>
      <c r="AR106" s="406"/>
      <c r="BN106" s="407"/>
    </row>
    <row r="107" ht="39" customHeight="1">
      <c r="A107" s="823"/>
      <c r="B107" s="823"/>
      <c r="C107" s="823"/>
      <c r="D107" s="823"/>
      <c r="E107" s="823"/>
      <c r="F107" s="823"/>
      <c r="G107" s="823"/>
      <c r="H107" s="823"/>
      <c r="I107" s="823"/>
      <c r="J107" s="823"/>
      <c r="K107" s="823"/>
      <c r="L107" s="823"/>
      <c r="M107" s="823"/>
      <c r="N107" s="823"/>
      <c r="O107" s="823"/>
      <c r="P107" s="823"/>
      <c r="Q107" s="823"/>
      <c r="R107" s="855"/>
      <c r="AR107" s="406"/>
      <c r="BN107" s="407"/>
    </row>
    <row r="108" ht="39" customHeight="1">
      <c r="A108" s="823"/>
      <c r="B108" s="823"/>
      <c r="C108" s="823"/>
      <c r="D108" s="823"/>
      <c r="E108" s="823"/>
      <c r="F108" s="823"/>
      <c r="G108" s="823"/>
      <c r="H108" s="823"/>
      <c r="I108" s="823"/>
      <c r="J108" s="823"/>
      <c r="K108" s="823"/>
      <c r="L108" s="823"/>
      <c r="M108" s="823"/>
      <c r="N108" s="823"/>
      <c r="O108" s="823"/>
      <c r="P108" s="823"/>
      <c r="Q108" s="823"/>
      <c r="R108" s="855"/>
      <c r="AR108" s="406"/>
      <c r="BN108" s="407"/>
    </row>
    <row r="109" ht="39" customHeight="1">
      <c r="A109" s="823"/>
      <c r="B109" s="823"/>
      <c r="C109" s="823"/>
      <c r="D109" s="823"/>
      <c r="E109" s="823"/>
      <c r="F109" s="823"/>
      <c r="G109" s="823"/>
      <c r="H109" s="823"/>
      <c r="I109" s="823"/>
      <c r="J109" s="823"/>
      <c r="K109" s="823"/>
      <c r="L109" s="823"/>
      <c r="M109" s="823"/>
      <c r="N109" s="823"/>
      <c r="O109" s="823"/>
      <c r="P109" s="823"/>
      <c r="Q109" s="823"/>
      <c r="R109" s="855"/>
      <c r="AR109" s="406"/>
      <c r="BN109" s="407"/>
    </row>
    <row r="110" ht="39" customHeight="1">
      <c r="A110" s="823"/>
      <c r="B110" s="823"/>
      <c r="C110" s="823"/>
      <c r="D110" s="823"/>
      <c r="E110" s="823"/>
      <c r="F110" s="823"/>
      <c r="G110" s="823"/>
      <c r="H110" s="823"/>
      <c r="I110" s="823"/>
      <c r="J110" s="823"/>
      <c r="K110" s="823"/>
      <c r="L110" s="823"/>
      <c r="M110" s="823"/>
      <c r="N110" s="823"/>
      <c r="O110" s="823"/>
      <c r="P110" s="823"/>
      <c r="Q110" s="823"/>
      <c r="R110" s="855"/>
      <c r="AR110" s="406"/>
      <c r="BN110" s="407"/>
    </row>
    <row r="111" ht="39" customHeight="1">
      <c r="A111" s="823"/>
      <c r="B111" s="823"/>
      <c r="C111" s="823"/>
      <c r="D111" s="823"/>
      <c r="E111" s="823"/>
      <c r="F111" s="823"/>
      <c r="G111" s="823"/>
      <c r="H111" s="823"/>
      <c r="I111" s="823"/>
      <c r="J111" s="823"/>
      <c r="K111" s="823"/>
      <c r="L111" s="823"/>
      <c r="M111" s="823"/>
      <c r="N111" s="823"/>
      <c r="O111" s="823"/>
      <c r="P111" s="823"/>
      <c r="Q111" s="823"/>
      <c r="R111" s="855"/>
      <c r="AR111" s="406"/>
      <c r="BN111" s="407"/>
    </row>
    <row r="112" ht="39" customHeight="1">
      <c r="A112" s="823"/>
      <c r="B112" s="823"/>
      <c r="C112" s="823"/>
      <c r="D112" s="823"/>
      <c r="E112" s="823"/>
      <c r="F112" s="823"/>
      <c r="G112" s="823"/>
      <c r="H112" s="823"/>
      <c r="I112" s="823"/>
      <c r="J112" s="823"/>
      <c r="K112" s="823"/>
      <c r="L112" s="823"/>
      <c r="M112" s="823"/>
      <c r="N112" s="823"/>
      <c r="O112" s="823"/>
      <c r="P112" s="823"/>
      <c r="Q112" s="823"/>
      <c r="R112" s="855"/>
      <c r="AR112" s="406"/>
      <c r="BN112" s="407"/>
    </row>
    <row r="113" ht="39" customHeight="1">
      <c r="A113" s="823"/>
      <c r="B113" s="823"/>
      <c r="C113" s="823"/>
      <c r="D113" s="823"/>
      <c r="E113" s="823"/>
      <c r="F113" s="823"/>
      <c r="G113" s="823"/>
      <c r="H113" s="823"/>
      <c r="I113" s="823"/>
      <c r="J113" s="823"/>
      <c r="K113" s="823"/>
      <c r="L113" s="823"/>
      <c r="M113" s="823"/>
      <c r="N113" s="823"/>
      <c r="O113" s="823"/>
      <c r="P113" s="823"/>
      <c r="Q113" s="823"/>
      <c r="R113" s="855"/>
      <c r="AR113" s="406"/>
      <c r="BN113" s="407"/>
    </row>
    <row r="114" ht="39" customHeight="1">
      <c r="A114" s="823"/>
      <c r="B114" s="823"/>
      <c r="C114" s="823"/>
      <c r="D114" s="823"/>
      <c r="E114" s="823"/>
      <c r="F114" s="823"/>
      <c r="G114" s="823"/>
      <c r="H114" s="823"/>
      <c r="I114" s="823"/>
      <c r="J114" s="823"/>
      <c r="K114" s="823"/>
      <c r="L114" s="823"/>
      <c r="M114" s="823"/>
      <c r="N114" s="823"/>
      <c r="O114" s="823"/>
      <c r="P114" s="823"/>
      <c r="Q114" s="823"/>
      <c r="R114" s="855"/>
      <c r="AR114" s="406"/>
      <c r="BN114" s="407"/>
    </row>
    <row r="115" ht="39" customHeight="1">
      <c r="A115" s="823"/>
      <c r="B115" s="823"/>
      <c r="C115" s="823"/>
      <c r="D115" s="823"/>
      <c r="E115" s="823"/>
      <c r="F115" s="823"/>
      <c r="G115" s="823"/>
      <c r="H115" s="823"/>
      <c r="I115" s="823"/>
      <c r="J115" s="823"/>
      <c r="K115" s="823"/>
      <c r="L115" s="823"/>
      <c r="M115" s="823"/>
      <c r="N115" s="823"/>
      <c r="O115" s="823"/>
      <c r="P115" s="823"/>
      <c r="Q115" s="823"/>
      <c r="R115" s="855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L13:AN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S60:T60"/>
    <mergeCell ref="R1:R115"/>
    <mergeCell ref="AF2:AF4"/>
    <mergeCell ref="AG26:AG27"/>
    <mergeCell ref="AG28:AG29"/>
    <mergeCell ref="S42:T42"/>
    <mergeCell ref="V14:AC14"/>
    <mergeCell ref="AG23:AH24"/>
    <mergeCell ref="AE20:AQ21"/>
    <mergeCell ref="AF45:AG47"/>
    <mergeCell ref="Y62:Z64"/>
    <mergeCell ref="S8:T9"/>
    <mergeCell ref="AO50:AP50"/>
    <mergeCell ref="AO46:AP49"/>
    <mergeCell ref="AH48:AL48"/>
    <mergeCell ref="AM48:AN48"/>
    <mergeCell ref="Y44:Z46"/>
    <mergeCell ref="S39:AC41"/>
    <mergeCell ref="AS58:AT58"/>
    <mergeCell ref="BD58:BE58"/>
    <mergeCell ref="AH26:AH27"/>
    <mergeCell ref="AH28:AH29"/>
    <mergeCell ref="AI26:AI27"/>
    <mergeCell ref="AI28:AI29"/>
    <mergeCell ref="AJ26:AJ27"/>
    <mergeCell ref="AZ54:BB54"/>
    <mergeCell ref="AK28:AK29"/>
    <mergeCell ref="AM49:AN51"/>
    <mergeCell ref="AH50:AL50"/>
    <mergeCell ref="AH51:AL51"/>
    <mergeCell ref="AH49:AL49"/>
    <mergeCell ref="S21:T21"/>
    <mergeCell ref="U37:AC37"/>
    <mergeCell ref="AE31:AP31"/>
    <mergeCell ref="V33:W33"/>
    <mergeCell ref="AJ28:AJ29"/>
    <mergeCell ref="AK26:AK27"/>
    <mergeCell ref="AE23:AF24"/>
    <mergeCell ref="AN28:AN29"/>
    <mergeCell ref="AN26:AN27"/>
    <mergeCell ref="AF26:AF27"/>
    <mergeCell ref="AF28:AF29"/>
    <mergeCell ref="AL28:AM29"/>
    <mergeCell ref="AL26:AM27"/>
    <mergeCell ref="J12:L14"/>
    <mergeCell ref="B15:P15"/>
    <mergeCell ref="I12:I14"/>
    <mergeCell ref="M12:M14"/>
    <mergeCell ref="A98:Q115"/>
    <mergeCell ref="A78:Q97"/>
    <mergeCell ref="A16:Q20"/>
    <mergeCell ref="B12:D14"/>
    <mergeCell ref="N12:P14"/>
    <mergeCell ref="F12:H14"/>
    <mergeCell ref="A60:Q76"/>
    <mergeCell ref="A21:Q37"/>
    <mergeCell ref="A38:Q42"/>
    <mergeCell ref="A43:Q59"/>
    <mergeCell ref="A1:Q7"/>
    <mergeCell ref="J8:L10"/>
    <mergeCell ref="B8:D10"/>
    <mergeCell ref="N8:P10"/>
    <mergeCell ref="F8:H10"/>
    <mergeCell ref="I8:I10"/>
    <mergeCell ref="M8:M10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31"/>
      <c r="B3" s="113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37"/>
      <c r="B12" s="113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43"/>
      <c r="B21" s="114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906" t="s">
        <v>596</v>
      </c>
      <c r="D10" s="906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06" t="s">
        <v>596</v>
      </c>
      <c r="D11" s="90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topLeftCell="C1" zoomScale="55" zoomScaleNormal="55" workbookViewId="0">
      <selection activeCell="R5" sqref="R5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88" t="s">
        <v>701</v>
      </c>
      <c r="B1" s="888"/>
      <c r="C1" s="598" t="s">
        <v>702</v>
      </c>
      <c r="D1" s="597" t="str">
        <f>تسعير!AJ28</f>
        <v>مصري</v>
      </c>
      <c r="E1" s="598" t="s">
        <v>703</v>
      </c>
      <c r="F1" s="597" t="str">
        <f>تسعير!AI28</f>
        <v>سادة</v>
      </c>
      <c r="G1" s="598" t="s">
        <v>249</v>
      </c>
      <c r="H1" s="597" t="s">
        <v>704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26277.939000000002</v>
      </c>
      <c r="O1" s="615"/>
      <c r="P1" s="0" t="s">
        <v>665</v>
      </c>
      <c r="Q1" s="603">
        <f>تسعير!AH28</f>
        <v>3</v>
      </c>
      <c r="R1" s="601" t="s">
        <v>705</v>
      </c>
      <c r="S1" s="600" t="str">
        <f>تسعير!AJ28</f>
        <v>مصري</v>
      </c>
      <c r="T1" s="602">
        <f>IF(Q1=3,V23,IF(Q1=2.5,W23,0))</f>
        <v>16529.940000000002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706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707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708</v>
      </c>
      <c r="C3" s="590" t="s">
        <v>709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310</v>
      </c>
      <c r="H3" s="592">
        <f>Table1381[[#This Row],[السعر]]*Table1381[[#This Row],[الوزن]]</f>
        <v>3498.35</v>
      </c>
      <c r="J3" s="0">
        <v>60</v>
      </c>
      <c r="K3" s="361" t="s">
        <v>710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711</v>
      </c>
      <c r="Q3" s="593" t="s">
        <v>32</v>
      </c>
      <c r="R3" s="606" t="s">
        <v>712</v>
      </c>
      <c r="S3" s="606" t="s">
        <v>713</v>
      </c>
      <c r="T3" s="606" t="s">
        <v>714</v>
      </c>
      <c r="U3" s="606" t="s">
        <v>272</v>
      </c>
      <c r="V3" s="606" t="s">
        <v>503</v>
      </c>
      <c r="W3" s="606" t="s">
        <v>715</v>
      </c>
    </row>
    <row r="4" ht="27" customHeight="1">
      <c r="A4" s="591" t="s">
        <v>238</v>
      </c>
      <c r="B4" s="591" t="s">
        <v>716</v>
      </c>
      <c r="C4" s="590" t="s">
        <v>717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310</v>
      </c>
      <c r="H4" s="592">
        <f>Table1381[[#This Row],[السعر]]*Table1381[[#This Row],[الوزن]]</f>
        <v>1450.8000000000002</v>
      </c>
      <c r="J4" s="0">
        <v>60</v>
      </c>
      <c r="K4" s="361" t="s">
        <v>718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719</v>
      </c>
      <c r="Q4" s="607" t="s">
        <v>28</v>
      </c>
      <c r="R4" s="590">
        <v>0.5</v>
      </c>
      <c r="S4" s="590">
        <v>1</v>
      </c>
      <c r="T4" s="606" t="s">
        <v>720</v>
      </c>
      <c r="U4" s="605">
        <f>IF(تسعير!$AI$28="سادة",2.39*((Sheet2!$B$14/1000)+Sheet2!$B$41),IF(تسعير!$AI$28="خشبي",2.39*((Sheet2!$B$14/1000)+(Sheet2!$B$15/1000)),0))</f>
        <v>812.6</v>
      </c>
      <c r="V4" s="605">
        <f ref="V4:V21" t="shared" si="0">U4*S4</f>
        <v>812.6</v>
      </c>
      <c r="W4" s="605">
        <f>Table1102[[#This Row],[متطلبات انتاج الشمسيه 2.5]]*Table1102[[#This Row],[سعر]]</f>
        <v>406.3</v>
      </c>
    </row>
    <row r="5" ht="27" customHeight="1">
      <c r="A5" s="591" t="s">
        <v>238</v>
      </c>
      <c r="B5" s="591" t="s">
        <v>721</v>
      </c>
      <c r="C5" s="590" t="s">
        <v>722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310</v>
      </c>
      <c r="H5" s="589">
        <f>Table1381[[#This Row],[السعر]]*Table1381[[#This Row],[الوزن]]</f>
        <v>285.2</v>
      </c>
      <c r="K5" s="361" t="s">
        <v>230</v>
      </c>
      <c r="O5" s="590">
        <v>2</v>
      </c>
      <c r="P5" s="607" t="s">
        <v>723</v>
      </c>
      <c r="Q5" s="607" t="s">
        <v>28</v>
      </c>
      <c r="R5" s="590">
        <v>2</v>
      </c>
      <c r="S5" s="590">
        <v>2</v>
      </c>
      <c r="T5" s="606" t="s">
        <v>720</v>
      </c>
      <c r="U5" s="605">
        <f>IF(تسعير!$AI$28="سادة",4.39*((Sheet2!$B$14/1000)+Sheet2!$B$41),IF(تسعير!$AI$28="خشبي",4.39*((Sheet2!$B$14/1000)+(Sheet2!$B$15/1000)),0))</f>
        <v>1492.6</v>
      </c>
      <c r="V5" s="605">
        <f t="shared" si="0"/>
        <v>2985.2</v>
      </c>
      <c r="W5" s="605">
        <f>Table1102[[#This Row],[متطلبات انتاج الشمسيه 2.5]]*Table1102[[#This Row],[سعر]]</f>
        <v>2985.2</v>
      </c>
    </row>
    <row r="6" ht="27" customHeight="1">
      <c r="A6" s="591" t="s">
        <v>238</v>
      </c>
      <c r="B6" s="591" t="s">
        <v>724</v>
      </c>
      <c r="C6" s="590" t="s">
        <v>720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310</v>
      </c>
      <c r="H6" s="592">
        <f>Table1381[[#This Row],[السعر]]*Table1381[[#This Row],[الوزن]]</f>
        <v>3359.1600000000003</v>
      </c>
      <c r="K6" s="623" t="s">
        <v>224</v>
      </c>
      <c r="O6" s="590">
        <v>3</v>
      </c>
      <c r="P6" s="607" t="s">
        <v>725</v>
      </c>
      <c r="Q6" s="607" t="s">
        <v>28</v>
      </c>
      <c r="R6" s="590">
        <v>1</v>
      </c>
      <c r="S6" s="590">
        <v>1</v>
      </c>
      <c r="T6" s="606" t="s">
        <v>720</v>
      </c>
      <c r="U6" s="605">
        <f>IF(تسعير!$AI$28="سادة",3.39*((Sheet2!$B$14/1000)+Sheet2!$B$41),IF(تسعير!AI28="خشبي",3.39*((Sheet2!$B$14/1000)+(Sheet2!$B$15/1000)),0))</f>
        <v>1152.6000000000001</v>
      </c>
      <c r="V6" s="605">
        <f t="shared" si="0"/>
        <v>1152.6000000000001</v>
      </c>
      <c r="W6" s="605">
        <f>Table1102[[#This Row],[متطلبات انتاج الشمسيه 2.5]]*Table1102[[#This Row],[سعر]]</f>
        <v>1152.6000000000001</v>
      </c>
    </row>
    <row r="7" ht="34.5" customHeight="1">
      <c r="A7" s="591" t="s">
        <v>726</v>
      </c>
      <c r="B7" s="594" t="s">
        <v>727</v>
      </c>
      <c r="C7" s="593" t="s">
        <v>728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729</v>
      </c>
      <c r="Q7" s="607" t="s">
        <v>28</v>
      </c>
      <c r="R7" s="590">
        <v>1</v>
      </c>
      <c r="S7" s="590">
        <v>1</v>
      </c>
      <c r="T7" s="606" t="s">
        <v>730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731</v>
      </c>
      <c r="C8" s="590" t="s">
        <v>732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733</v>
      </c>
      <c r="Q8" s="607" t="s">
        <v>28</v>
      </c>
      <c r="R8" s="590">
        <v>1</v>
      </c>
      <c r="S8" s="590">
        <v>1</v>
      </c>
      <c r="T8" s="606" t="s">
        <v>730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734</v>
      </c>
      <c r="B9" s="591" t="str">
        <f>F1</f>
        <v>سادة</v>
      </c>
      <c r="C9" s="590" t="s">
        <v>735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30</v>
      </c>
      <c r="H9" s="589">
        <f>Table1381[[#This Row],[السعر]]*Table1381[[#This Row],[الوزن]]</f>
        <v>831.62999999999988</v>
      </c>
      <c r="K9" s="361"/>
      <c r="O9" s="590">
        <v>6</v>
      </c>
      <c r="P9" s="607" t="s">
        <v>736</v>
      </c>
      <c r="Q9" s="607" t="s">
        <v>28</v>
      </c>
      <c r="R9" s="590">
        <v>1</v>
      </c>
      <c r="S9" s="590">
        <v>1</v>
      </c>
      <c r="T9" s="605" t="s">
        <v>737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738</v>
      </c>
      <c r="B10" s="591" t="str">
        <f>D1</f>
        <v>مصري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200</v>
      </c>
      <c r="H10" s="592">
        <f>Table1381[[#This Row],[السعر]]*Table1381[[#This Row],[الوزن]]</f>
        <v>1800</v>
      </c>
      <c r="K10" s="0" t="s">
        <v>665</v>
      </c>
      <c r="O10" s="590">
        <v>7</v>
      </c>
      <c r="P10" s="607" t="s">
        <v>739</v>
      </c>
      <c r="Q10" s="607" t="s">
        <v>28</v>
      </c>
      <c r="R10" s="590">
        <v>12</v>
      </c>
      <c r="S10" s="590">
        <v>12</v>
      </c>
      <c r="T10" s="605" t="s">
        <v>737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740</v>
      </c>
      <c r="B11" s="591" t="s">
        <v>741</v>
      </c>
      <c r="C11" s="590" t="s">
        <v>732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701</v>
      </c>
      <c r="O11" s="590">
        <v>8</v>
      </c>
      <c r="P11" s="607" t="s">
        <v>742</v>
      </c>
      <c r="Q11" s="607" t="s">
        <v>28</v>
      </c>
      <c r="R11" s="590">
        <v>1</v>
      </c>
      <c r="S11" s="590">
        <v>1</v>
      </c>
      <c r="T11" s="605" t="s">
        <v>737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740</v>
      </c>
      <c r="B12" s="591" t="s">
        <v>743</v>
      </c>
      <c r="C12" s="590" t="s">
        <v>732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807" t="s">
        <v>744</v>
      </c>
      <c r="O12" s="590">
        <v>9</v>
      </c>
      <c r="P12" s="607" t="s">
        <v>745</v>
      </c>
      <c r="Q12" s="607" t="s">
        <v>28</v>
      </c>
      <c r="R12" s="590">
        <v>1</v>
      </c>
      <c r="S12" s="590">
        <v>1</v>
      </c>
      <c r="T12" s="605" t="s">
        <v>737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746</v>
      </c>
      <c r="B13" s="591" t="s">
        <v>747</v>
      </c>
      <c r="C13" s="590" t="s">
        <v>732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807" t="s">
        <v>748</v>
      </c>
      <c r="O13" s="590">
        <v>10</v>
      </c>
      <c r="P13" s="607" t="s">
        <v>749</v>
      </c>
      <c r="Q13" s="607" t="s">
        <v>28</v>
      </c>
      <c r="R13" s="590">
        <v>20</v>
      </c>
      <c r="S13" s="590">
        <v>20</v>
      </c>
      <c r="T13" s="605" t="s">
        <v>750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746</v>
      </c>
      <c r="B14" s="591" t="s">
        <v>751</v>
      </c>
      <c r="C14" s="590" t="s">
        <v>732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807" t="s">
        <v>752</v>
      </c>
      <c r="O14" s="590">
        <v>11</v>
      </c>
      <c r="P14" s="607" t="s">
        <v>753</v>
      </c>
      <c r="Q14" s="607" t="s">
        <v>28</v>
      </c>
      <c r="R14" s="590">
        <v>1</v>
      </c>
      <c r="S14" s="590">
        <v>1</v>
      </c>
      <c r="T14" s="605" t="s">
        <v>737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746</v>
      </c>
      <c r="B15" s="591" t="s">
        <v>754</v>
      </c>
      <c r="C15" s="590" t="s">
        <v>732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755</v>
      </c>
      <c r="Q15" s="607" t="s">
        <v>28</v>
      </c>
      <c r="R15" s="590">
        <v>1</v>
      </c>
      <c r="S15" s="590">
        <v>1</v>
      </c>
      <c r="T15" s="605" t="s">
        <v>730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756</v>
      </c>
      <c r="B16" s="591" t="s">
        <v>757</v>
      </c>
      <c r="C16" s="590" t="s">
        <v>758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759</v>
      </c>
      <c r="Q16" s="607" t="s">
        <v>28</v>
      </c>
      <c r="R16" s="590">
        <v>1</v>
      </c>
      <c r="S16" s="590">
        <v>1</v>
      </c>
      <c r="T16" s="605" t="s">
        <v>737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760</v>
      </c>
      <c r="B17" s="591" t="s">
        <v>761</v>
      </c>
      <c r="C17" s="590" t="s">
        <v>758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762</v>
      </c>
      <c r="Q17" s="607" t="s">
        <v>28</v>
      </c>
      <c r="R17" s="590">
        <v>1</v>
      </c>
      <c r="S17" s="590">
        <v>1</v>
      </c>
      <c r="T17" s="605" t="s">
        <v>750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763</v>
      </c>
      <c r="C18" s="590" t="s">
        <v>758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764</v>
      </c>
      <c r="Q18" s="607" t="s">
        <v>28</v>
      </c>
      <c r="R18" s="590">
        <v>1</v>
      </c>
      <c r="S18" s="590">
        <v>5</v>
      </c>
      <c r="T18" s="605" t="s">
        <v>765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766</v>
      </c>
      <c r="B19" s="591" t="s">
        <v>767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768</v>
      </c>
      <c r="Q19" s="607" t="s">
        <v>303</v>
      </c>
      <c r="R19" s="590">
        <v>8</v>
      </c>
      <c r="S19" s="590">
        <v>8</v>
      </c>
      <c r="T19" s="605" t="s">
        <v>737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756</v>
      </c>
      <c r="B20" s="591" t="s">
        <v>769</v>
      </c>
      <c r="C20" s="590" t="s">
        <v>758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738</v>
      </c>
      <c r="Q20" s="607" t="s">
        <v>770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200</v>
      </c>
      <c r="V20" s="605">
        <f t="shared" si="0"/>
        <v>1800</v>
      </c>
      <c r="W20" s="605">
        <f>Table1102[[#This Row],[متطلبات انتاج الشمسيه 2.5]]*Table1102[[#This Row],[سعر]]</f>
        <v>1400</v>
      </c>
    </row>
    <row r="21" ht="27" customHeight="1">
      <c r="A21" s="591" t="s">
        <v>771</v>
      </c>
      <c r="B21" s="591" t="s">
        <v>772</v>
      </c>
      <c r="C21" s="590" t="s">
        <v>773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774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19465.14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12244.4</v>
      </c>
      <c r="W22" s="572">
        <f>SUBTOTAL(109,Table1102[2.5])</f>
        <v>11358.1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16529.940000000002</v>
      </c>
      <c r="W23" s="616">
        <f>IF(تسعير!AI17="قطاعي",Table1102[[#Totals],[2.5]]*1.35,IF(تسعير!AI17="جملة",Table1102[[#Totals],[2.5]]*1.25,IF(تسعير!AI17="نصف جملة",Table1102[[#Totals],[2.5]]*1.3,0)))</f>
        <v>15333.435000000001</v>
      </c>
    </row>
    <row r="24" ht="27" customHeight="1">
      <c r="A24" s="618" t="s">
        <v>775</v>
      </c>
      <c r="B24" s="814" t="str">
        <f>تسعير!AN28</f>
        <v>متحركة</v>
      </c>
      <c r="C24" s="618"/>
      <c r="D24" s="619">
        <f>IF(تسعير!AG28="جملة",Table17118[[#Totals],[Column4]]*1.25,Table17118[[#Totals],[Column4]]*1.3)</f>
        <v>7800.1978600000011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672</v>
      </c>
      <c r="P25" s="618" t="s">
        <v>776</v>
      </c>
      <c r="Q25" s="618">
        <f>تسعير!AH28</f>
        <v>3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7346.56</v>
      </c>
    </row>
    <row r="26" ht="27" customHeight="1">
      <c r="A26" s="0" t="s">
        <v>777</v>
      </c>
      <c r="B26" s="0">
        <v>2.67</v>
      </c>
      <c r="C26" s="621">
        <f>IF(تسعير!AI28='شماسي كانتليفر'!F33,6.3*0.23*((Sheet2!B14/1000)+(Sheet2!B15/1000)),6.3*0.23*((Sheet2!B14/1000)+Sheet2!B41))</f>
        <v>492.66</v>
      </c>
      <c r="D26" s="622">
        <f>Table17118[[#This Row],[القيمة]]*Table17118[[#This Row],[العدد]]</f>
        <v>1315.4022</v>
      </c>
      <c r="F26" s="620" t="s">
        <v>778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779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1589.5</v>
      </c>
      <c r="D27" s="622">
        <f>Table17118[[#This Row],[القيمة]]*Table17118[[#This Row],[العدد]]</f>
        <v>794.75</v>
      </c>
      <c r="F27" s="620" t="s">
        <v>224</v>
      </c>
      <c r="H27" s="620"/>
      <c r="P27" s="0" t="s">
        <v>780</v>
      </c>
      <c r="Q27" s="0">
        <f>IF(Q25=U33,4.5,IF(Q25=U32,3.75,0))</f>
        <v>0</v>
      </c>
      <c r="R27" s="621">
        <f>IF(تسعير!AI28='شماسي كانتليفر'!U31,6.8*0.68*((Sheet2!$B$14/1000)+(Sheet2!$B$15/1000)),6.8*0.68*(Sheet2!$B$14/1000)+Sheet2!$B$41)</f>
        <v>1463.4400000000003</v>
      </c>
      <c r="S27" s="622">
        <f>Table1718[[#This Row],[القيمة]]*Table1718[[#This Row],[العدد]]</f>
        <v>0</v>
      </c>
      <c r="U27" s="0" t="s">
        <v>224</v>
      </c>
    </row>
    <row r="28" ht="27" customHeight="1">
      <c r="A28" s="0" t="s">
        <v>781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1806.25</v>
      </c>
      <c r="D28" s="622">
        <f>Table17118[[#This Row],[القيمة]]*Table17118[[#This Row],[العدد]]</f>
        <v>0</v>
      </c>
      <c r="F28" s="620" t="s">
        <v>216</v>
      </c>
      <c r="P28" s="0" t="s">
        <v>782</v>
      </c>
      <c r="Q28" s="0">
        <v>1</v>
      </c>
      <c r="R28" s="621">
        <f>IF(تسعير!AI28='شماسي كانتليفر'!U31,1.1*3.2*((Sheet2!$B$14/1000)+(Sheet2!$B$15/1000)),1.1*3.2*(Sheet2!$B$14/1000)+Sheet2!$B$41)</f>
        <v>1121.2</v>
      </c>
      <c r="S28" s="622">
        <f>Table1718[[#This Row],[القيمة]]*Table1718[[#This Row],[العدد]]</f>
        <v>1121.2</v>
      </c>
      <c r="U28" s="620" t="s">
        <v>216</v>
      </c>
    </row>
    <row r="29" ht="27" customHeight="1">
      <c r="A29" s="0" t="s">
        <v>783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784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785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786</v>
      </c>
      <c r="P30" s="0" t="s">
        <v>787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738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200</v>
      </c>
      <c r="D31" s="622">
        <f>Table17118[[#This Row],[القيمة]]*Table17118[[#This Row],[العدد]]</f>
        <v>1400</v>
      </c>
      <c r="F31" s="620" t="s">
        <v>269</v>
      </c>
      <c r="I31" s="620">
        <f>3.25*2</f>
        <v>6.5</v>
      </c>
      <c r="P31" s="0" t="s">
        <v>788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789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790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813" t="s">
        <v>219</v>
      </c>
    </row>
    <row r="33" ht="27" customHeight="1">
      <c r="A33" s="0" t="s">
        <v>791</v>
      </c>
      <c r="D33" s="621">
        <v>400</v>
      </c>
      <c r="F33" s="620" t="s">
        <v>230</v>
      </c>
      <c r="P33" s="0" t="s">
        <v>792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813" t="s">
        <v>215</v>
      </c>
    </row>
    <row r="34" ht="27" customHeight="1">
      <c r="A34" s="0" t="s">
        <v>54</v>
      </c>
      <c r="D34" s="621">
        <f>SUBTOTAL(109,Table17118[Column4])</f>
        <v>6000.1522</v>
      </c>
      <c r="P34" s="624" t="s">
        <v>793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794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795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796</v>
      </c>
      <c r="Q37" s="0">
        <f>IF($Q$25=U33,20,IF(Q25=U32,18,0))</f>
        <v>0</v>
      </c>
      <c r="R37" s="0">
        <f>IF(تسعير!AJ28='شماسي كانتليفر'!F27,200,IF(تسعير!AJ28='شماسي كانتليفر'!F28,400,IF(تسعير!AJ28='شماسي كانتليفر'!F29,750)))</f>
        <v>200</v>
      </c>
      <c r="S37" s="622">
        <f>Table1718[[#This Row],[القيمة]]*Table1718[[#This Row],[العدد]]</f>
        <v>0</v>
      </c>
    </row>
    <row r="38" ht="27" customHeight="1">
      <c r="P38" s="0" t="s">
        <v>791</v>
      </c>
      <c r="S38" s="621">
        <v>1000</v>
      </c>
    </row>
    <row r="39" ht="27" customHeight="1">
      <c r="P39" s="0" t="s">
        <v>54</v>
      </c>
      <c r="S39" s="621">
        <f>SUBTOTAL(109,Table1718[Column4])</f>
        <v>5651.2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6" zoomScaleNormal="90" zoomScaleSheetLayoutView="100" zoomScalePageLayoutView="90" workbookViewId="0">
      <selection activeCell="G8" sqref="G8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89" t="s">
        <v>0</v>
      </c>
      <c r="B1" s="890"/>
      <c r="C1" s="89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2"/>
      <c r="B2" s="893"/>
      <c r="C2" s="89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55000</v>
      </c>
      <c r="I2" s="231">
        <f>Sheet2!B13</f>
        <v>65000</v>
      </c>
      <c r="J2" s="232">
        <f>Sheet2!B14</f>
        <v>310000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6" t="s">
        <v>17</v>
      </c>
      <c r="B3" s="897"/>
      <c r="C3" s="397"/>
      <c r="F3" s="234" t="s">
        <v>18</v>
      </c>
      <c r="G3" s="898">
        <f>NOW()</f>
        <v>46163.374774085649</v>
      </c>
      <c r="H3" s="899"/>
      <c r="I3" s="89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200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95" t="s">
        <v>20</v>
      </c>
      <c r="E4" s="895"/>
      <c r="F4" s="895"/>
      <c r="G4" s="895"/>
      <c r="H4" s="895"/>
      <c r="I4" s="89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150</v>
      </c>
      <c r="R4" s="216">
        <v>3500</v>
      </c>
      <c r="S4" s="216">
        <v>6000</v>
      </c>
      <c r="T4" s="216">
        <v>200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150</v>
      </c>
      <c r="R5" s="216">
        <v>3500</v>
      </c>
      <c r="S5" s="216">
        <v>6000</v>
      </c>
      <c r="T5" s="216">
        <v>200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467.5</v>
      </c>
      <c r="K6" s="240">
        <f>B6*J6</f>
        <v>2337.5</v>
      </c>
      <c r="L6" s="241">
        <f>(K6)/$G$83</f>
        <v>0.016519288224438648</v>
      </c>
      <c r="N6" s="216" t="s">
        <v>44</v>
      </c>
      <c r="O6" s="216">
        <v>320</v>
      </c>
      <c r="P6" s="216">
        <v>400</v>
      </c>
      <c r="Q6" s="216">
        <v>150</v>
      </c>
      <c r="R6" s="216">
        <v>3500</v>
      </c>
      <c r="S6" s="216">
        <v>6000</v>
      </c>
      <c r="T6" s="216">
        <v>200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2571.25</v>
      </c>
      <c r="K7" s="240">
        <f>B7*J7</f>
        <v>5142.5</v>
      </c>
      <c r="L7" s="241">
        <f>(K7)/$G$83</f>
        <v>0.036342434093765023</v>
      </c>
      <c r="N7" s="216" t="s">
        <v>48</v>
      </c>
      <c r="O7" s="216">
        <v>250</v>
      </c>
      <c r="P7" s="216">
        <v>400</v>
      </c>
      <c r="Q7" s="216">
        <v>150</v>
      </c>
      <c r="R7" s="216">
        <v>5000</v>
      </c>
      <c r="S7" s="216">
        <v>8000</v>
      </c>
      <c r="T7" s="216">
        <v>600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3080</v>
      </c>
      <c r="K8" s="240">
        <f>B8*J8</f>
        <v>3080</v>
      </c>
      <c r="L8" s="241">
        <f>(K8)/$G$83</f>
        <v>0.021766591542789746</v>
      </c>
      <c r="N8" s="216" t="s">
        <v>52</v>
      </c>
      <c r="O8" s="216">
        <v>75</v>
      </c>
      <c r="P8" s="216">
        <v>200</v>
      </c>
      <c r="Q8" s="216">
        <v>150</v>
      </c>
      <c r="R8" s="216">
        <v>3000</v>
      </c>
      <c r="S8" s="216">
        <v>5000</v>
      </c>
      <c r="T8" s="216">
        <v>500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10560</v>
      </c>
      <c r="L9" s="244">
        <f>Table1[[#Totals],[اجمالي]]/$G$83</f>
        <v>0.074628313860993417</v>
      </c>
      <c r="N9" s="216" t="s">
        <v>55</v>
      </c>
      <c r="O9" s="216">
        <v>75</v>
      </c>
      <c r="P9" s="216">
        <v>200</v>
      </c>
      <c r="Q9" s="216">
        <v>150</v>
      </c>
      <c r="R9" s="216">
        <v>3000</v>
      </c>
      <c r="S9" s="216">
        <v>6000</v>
      </c>
      <c r="T9" s="216">
        <v>500</v>
      </c>
      <c r="V9" s="216" t="s">
        <v>56</v>
      </c>
      <c r="X9" s="216" t="s">
        <v>57</v>
      </c>
    </row>
    <row r="10" ht="21" customHeight="1" s="216" customFormat="1">
      <c r="C10" s="217"/>
      <c r="D10" s="895" t="s">
        <v>58</v>
      </c>
      <c r="E10" s="895"/>
      <c r="F10" s="895"/>
      <c r="G10" s="895"/>
      <c r="H10" s="895"/>
      <c r="I10" s="895"/>
      <c r="L10" s="402"/>
      <c r="N10" s="216" t="s">
        <v>59</v>
      </c>
      <c r="O10" s="216">
        <v>75</v>
      </c>
      <c r="P10" s="216">
        <v>200</v>
      </c>
      <c r="Q10" s="216">
        <v>150</v>
      </c>
      <c r="R10" s="216">
        <v>3000</v>
      </c>
      <c r="S10" s="216">
        <v>6000</v>
      </c>
      <c r="T10" s="216">
        <v>500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150</v>
      </c>
      <c r="R11" s="216">
        <v>3000</v>
      </c>
      <c r="S11" s="216">
        <v>8000</v>
      </c>
      <c r="T11" s="216">
        <v>500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13130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150</v>
      </c>
      <c r="R12" s="216">
        <v>4000</v>
      </c>
      <c r="S12" s="216">
        <v>8000</v>
      </c>
      <c r="T12" s="216">
        <v>500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6565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150</v>
      </c>
      <c r="R13" s="216">
        <v>4000</v>
      </c>
      <c r="S13" s="216">
        <v>8000</v>
      </c>
      <c r="T13" s="216">
        <v>500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150</v>
      </c>
      <c r="R14" s="216">
        <v>4000</v>
      </c>
      <c r="S14" s="216">
        <v>8000</v>
      </c>
      <c r="T14" s="216">
        <v>500</v>
      </c>
    </row>
    <row r="15" ht="21" customHeight="1" s="216" customFormat="1">
      <c r="C15" s="217"/>
      <c r="D15" s="895" t="s">
        <v>72</v>
      </c>
      <c r="E15" s="895"/>
      <c r="F15" s="895"/>
      <c r="G15" s="895"/>
      <c r="H15" s="895"/>
      <c r="I15" s="895"/>
      <c r="N15" s="216" t="s">
        <v>73</v>
      </c>
      <c r="O15" s="216">
        <v>250</v>
      </c>
      <c r="P15" s="216">
        <v>200</v>
      </c>
      <c r="Q15" s="216">
        <v>150</v>
      </c>
      <c r="R15" s="216">
        <v>3000</v>
      </c>
      <c r="S15" s="216">
        <v>10000</v>
      </c>
      <c r="T15" s="216">
        <v>650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150</v>
      </c>
      <c r="R16" s="216">
        <v>3000</v>
      </c>
      <c r="S16" s="216">
        <v>10000</v>
      </c>
      <c r="T16" s="216">
        <v>650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0.00565366014098435</v>
      </c>
      <c r="N17" s="216" t="s">
        <v>78</v>
      </c>
      <c r="O17" s="216">
        <v>250</v>
      </c>
      <c r="P17" s="216">
        <v>200</v>
      </c>
      <c r="Q17" s="216">
        <v>150</v>
      </c>
      <c r="R17" s="216">
        <v>3000</v>
      </c>
      <c r="S17" s="216">
        <v>10000</v>
      </c>
      <c r="T17" s="216">
        <v>650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0.0035335375881152186</v>
      </c>
      <c r="N18" s="216" t="s">
        <v>81</v>
      </c>
      <c r="O18" s="216">
        <v>800</v>
      </c>
      <c r="P18" s="216">
        <v>600</v>
      </c>
      <c r="Q18" s="216">
        <v>200</v>
      </c>
      <c r="R18" s="216">
        <v>12000</v>
      </c>
      <c r="S18" s="216">
        <v>22000</v>
      </c>
      <c r="T18" s="216">
        <v>1500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0.0031095130775413925</v>
      </c>
      <c r="N19" s="216" t="s">
        <v>83</v>
      </c>
      <c r="O19" s="216">
        <v>800</v>
      </c>
      <c r="P19" s="216">
        <v>750</v>
      </c>
      <c r="Q19" s="216">
        <v>200</v>
      </c>
      <c r="R19" s="216">
        <v>12000</v>
      </c>
      <c r="S19" s="216">
        <v>22000</v>
      </c>
      <c r="T19" s="216">
        <v>1500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0.00091871977290995687</v>
      </c>
      <c r="N20" s="216" t="s">
        <v>85</v>
      </c>
      <c r="O20" s="216">
        <v>800</v>
      </c>
      <c r="P20" s="216">
        <v>750</v>
      </c>
      <c r="Q20" s="216">
        <v>200</v>
      </c>
      <c r="R20" s="216">
        <v>12000</v>
      </c>
      <c r="S20" s="216">
        <v>22000</v>
      </c>
      <c r="T20" s="216">
        <v>1500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0.0014134150352460874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0.00042402451057382622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0.019787810493445225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0.00021201225528691311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0.016960980422953048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0.0031801838293036969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0.055193857126359713</v>
      </c>
    </row>
    <row r="28" ht="21" customHeight="1" s="216" customFormat="1">
      <c r="C28" s="217"/>
      <c r="D28" s="895" t="s">
        <v>95</v>
      </c>
      <c r="E28" s="895"/>
      <c r="F28" s="895"/>
      <c r="G28" s="895"/>
      <c r="H28" s="895"/>
      <c r="I28" s="89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770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55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95" t="s">
        <v>99</v>
      </c>
      <c r="E33" s="895"/>
      <c r="F33" s="895"/>
      <c r="G33" s="895"/>
      <c r="H33" s="895"/>
      <c r="I33" s="89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0.00053003063821728275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0.00053003063821728275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0.00088338439702880466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0.0053003063821728275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0.0014134150352460874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0.0055594324719679443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0.0021579818841703661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0.013104376541067298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0.030378327436110551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0.059857285424198443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95" t="s">
        <v>119</v>
      </c>
      <c r="E51" s="895"/>
      <c r="F51" s="895"/>
      <c r="G51" s="895"/>
      <c r="H51" s="895"/>
      <c r="I51" s="89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310</v>
      </c>
      <c r="J53" s="403">
        <f>Table1610[[#This Row],[سعر الكيلو]]*Table1610[[#This Row],[الوزن]]</f>
        <v>542.5</v>
      </c>
      <c r="K53" s="240">
        <f>B53*J53</f>
        <v>1627.5</v>
      </c>
      <c r="L53" s="241">
        <f>(Table1610[[#This Row],[اجمالي]])/$G$83</f>
        <v>0.011501664849315037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0.014134150352460875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3627.5</v>
      </c>
      <c r="L55" s="244">
        <f>Table1610[[#Totals],[اجمالي]]/$G$83</f>
        <v>0.025635815201775911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95" t="s">
        <v>123</v>
      </c>
      <c r="E56" s="895"/>
      <c r="F56" s="895"/>
      <c r="G56" s="895"/>
      <c r="H56" s="895"/>
      <c r="I56" s="89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3091.1291540598522</v>
      </c>
      <c r="I58" s="247"/>
      <c r="J58" s="403">
        <f>IF((Table1611[[#This Row],[عدد]]&gt;0),'Cutting Ro-1'!O8,0)</f>
        <v>49458.066464957636</v>
      </c>
      <c r="K58" s="240">
        <f>B58*Table1611[[#This Row],[سعر البرجولا كاملة]]</f>
        <v>49458.066464957636</v>
      </c>
      <c r="L58" s="241">
        <f>(K58)/$G$83</f>
        <v>0.34952387377885719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3091.1291540598522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49458.066464957636</v>
      </c>
      <c r="K60" s="240">
        <f>B60*Table1611[[#This Row],[سعر البرجولا كاملة]]</f>
        <v>4945.8066464957637</v>
      </c>
      <c r="L60" s="241">
        <f t="shared" si="9"/>
        <v>0.034952387377885717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54403.8731114534</v>
      </c>
      <c r="L61" s="574">
        <f>Table1611[[#Totals],[اجمالي]]/$G$83</f>
        <v>0.38447626115674288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95" t="s">
        <v>132</v>
      </c>
      <c r="E65" s="895"/>
      <c r="F65" s="895"/>
      <c r="G65" s="895"/>
      <c r="H65" s="895"/>
      <c r="I65" s="89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0.00791512419737809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0.0059363431480335674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0.011872686296067135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0.0059363431480335674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150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71" s="240">
        <f t="shared" si="10"/>
        <v>6600</v>
      </c>
      <c r="L71" s="241">
        <f t="shared" si="11"/>
        <v>0.046642696163120882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150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72" s="240">
        <f t="shared" si="10"/>
        <v>4950</v>
      </c>
      <c r="L72" s="241">
        <f t="shared" si="11"/>
        <v>0.034982022122340667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150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150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4" s="240">
        <f t="shared" si="10"/>
        <v>4400</v>
      </c>
      <c r="L74" s="241">
        <f t="shared" si="11"/>
        <v>0.031095130775413923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0.062190261550827845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0.03957562098689045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0.049469526233613059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0.08480490211476524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200</v>
      </c>
      <c r="I79" s="247"/>
      <c r="J79" s="243">
        <f>Table1612[[#This Row],[Column12]]</f>
        <v>200</v>
      </c>
      <c r="K79" s="240">
        <f t="shared" si="10"/>
        <v>2800</v>
      </c>
      <c r="L79" s="241">
        <f t="shared" si="11"/>
        <v>0.019787810493445225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10500</v>
      </c>
      <c r="I80" s="570"/>
      <c r="J80" s="242"/>
      <c r="K80" s="573">
        <f>SUBTOTAL(109,Table1612[اجمالي])</f>
        <v>56630</v>
      </c>
      <c r="L80" s="574">
        <f>Table1612[[#Totals],[اجمالي]]/$G$83</f>
        <v>0.40020846722992964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141501.25406383435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183951.63028298467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89" t="s">
        <v>0</v>
      </c>
      <c r="B1" s="890"/>
      <c r="C1" s="89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2"/>
      <c r="B2" s="893"/>
      <c r="C2" s="89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55000</v>
      </c>
      <c r="I2" s="231">
        <f>Sheet2!B13</f>
        <v>65000</v>
      </c>
      <c r="J2" s="232">
        <f>Sheet2!B14</f>
        <v>310000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6" t="s">
        <v>17</v>
      </c>
      <c r="B3" s="897"/>
      <c r="C3" s="397"/>
      <c r="F3" s="234" t="s">
        <v>18</v>
      </c>
      <c r="G3" s="898">
        <f>NOW()</f>
        <v>46163.374774085649</v>
      </c>
      <c r="H3" s="899"/>
      <c r="I3" s="89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95" t="s">
        <v>20</v>
      </c>
      <c r="E4" s="895"/>
      <c r="F4" s="895"/>
      <c r="G4" s="895"/>
      <c r="H4" s="895"/>
      <c r="I4" s="89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467.5</v>
      </c>
      <c r="K6" s="240">
        <f>B6*J6</f>
        <v>935</v>
      </c>
      <c r="L6" s="241">
        <f>(K6)/$G$85</f>
        <v>0.0057703741836233943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2571.25</v>
      </c>
      <c r="K7" s="240">
        <f ref="K7:K9" t="shared" si="2">B7*J7</f>
        <v>7713.75</v>
      </c>
      <c r="L7" s="241">
        <f>(K7)/$G$85</f>
        <v>0.047605587014893008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1553.75</v>
      </c>
      <c r="K8" s="240">
        <f t="shared" si="2"/>
        <v>3107.5</v>
      </c>
      <c r="L8" s="241">
        <f>(K8)/$G$85</f>
        <v>0.019178008316160105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3080</v>
      </c>
      <c r="K9" s="240">
        <f t="shared" si="2"/>
        <v>3080</v>
      </c>
      <c r="L9" s="241">
        <f>(K9)/$G$85</f>
        <v>0.019008291428406477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14836.25</v>
      </c>
      <c r="L10" s="244">
        <f>Table118[[#Totals],[اجمالي]]/$G$85</f>
        <v>0.091562260943082979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95" t="s">
        <v>58</v>
      </c>
      <c r="E11" s="895"/>
      <c r="F11" s="895"/>
      <c r="G11" s="895"/>
      <c r="H11" s="895"/>
      <c r="I11" s="89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13130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6565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95" t="s">
        <v>72</v>
      </c>
      <c r="E16" s="895"/>
      <c r="F16" s="895"/>
      <c r="G16" s="895"/>
      <c r="H16" s="895"/>
      <c r="I16" s="89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0.0024686092764164254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0.003085761595520532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0.0020366026530435509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0.00080229801483533826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0.0029623311316997105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0.00037029139146246381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0.017280264934914979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0.00012343046382082127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0.0027771854359684785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0.0319067748976823</v>
      </c>
    </row>
    <row r="29" ht="18" s="216" customFormat="1">
      <c r="C29" s="217"/>
      <c r="D29" s="895" t="s">
        <v>95</v>
      </c>
      <c r="E29" s="895"/>
      <c r="F29" s="895"/>
      <c r="G29" s="895"/>
      <c r="H29" s="895"/>
      <c r="I29" s="89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55</v>
      </c>
      <c r="J31" s="243">
        <f ref="J31:J32" t="shared" si="8">H31*$H$2/1000</f>
        <v>770</v>
      </c>
      <c r="K31" s="240">
        <f ref="K31:K32" t="shared" si="9">B31*J31</f>
        <v>3080</v>
      </c>
      <c r="L31" s="241">
        <f>(K31)/$G$85</f>
        <v>0.019008291428406477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55</v>
      </c>
      <c r="J32" s="243">
        <f t="shared" si="8"/>
        <v>82.5</v>
      </c>
      <c r="K32" s="240">
        <f t="shared" si="9"/>
        <v>1320</v>
      </c>
      <c r="L32" s="251">
        <f>(K32)/$G$85</f>
        <v>0.0081464106121742035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4400</v>
      </c>
      <c r="L33" s="244">
        <f>Table1624[[#Totals],[اجمالي]]/$G$85</f>
        <v>0.02715470204058068</v>
      </c>
    </row>
    <row r="34" ht="18" s="216" customFormat="1">
      <c r="C34" s="217"/>
      <c r="D34" s="895" t="s">
        <v>99</v>
      </c>
      <c r="E34" s="895"/>
      <c r="F34" s="895"/>
      <c r="G34" s="895"/>
      <c r="H34" s="895"/>
      <c r="I34" s="89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0.0074058278292492763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0.0020520314610211537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0.016292821224348407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0.028327291446878483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0.00046286423932807977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0.00046286423932807977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0.001542880797760266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0.0046286423932807982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0.0012343046382082127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0.062409528269402756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95" t="s">
        <v>119</v>
      </c>
      <c r="E52" s="895"/>
      <c r="F52" s="895"/>
      <c r="G52" s="895"/>
      <c r="H52" s="895"/>
      <c r="I52" s="89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310</v>
      </c>
      <c r="J54" s="403">
        <f>Table161027[[#This Row],[سعر الكيلو]]*Table161027[[#This Row],[الوزن]]</f>
        <v>542.5</v>
      </c>
      <c r="K54" s="240">
        <f ref="K54:K55" t="shared" si="13">B54*J54</f>
        <v>1627.5</v>
      </c>
      <c r="L54" s="241">
        <f>(Table161027[[#This Row],[اجمالي]])/$G$85</f>
        <v>0.010044153993419331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0.14811655658498554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25627.5</v>
      </c>
      <c r="L56" s="241">
        <f>Table161027[[#Totals],[اجمالي]]/$G$85</f>
        <v>0.15816071057840486</v>
      </c>
    </row>
    <row r="57" ht="18" s="216" customFormat="1">
      <c r="C57" s="217"/>
      <c r="D57" s="895" t="s">
        <v>123</v>
      </c>
      <c r="E57" s="895"/>
      <c r="F57" s="895"/>
      <c r="G57" s="895"/>
      <c r="H57" s="895"/>
      <c r="I57" s="89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3178.8808376392371</v>
      </c>
      <c r="I59" s="247"/>
      <c r="J59" s="403">
        <f>IF((Table161128[[#This Row],[عدد]]&gt;0),'Cutting Ro-2'!O8,0)</f>
        <v>50862.093402227794</v>
      </c>
      <c r="K59" s="240">
        <f>Table161128[[#This Row],[عدد]]*Table161128[[#This Row],[سعر البرجولا كاملة]]</f>
        <v>50862.093402227794</v>
      </c>
      <c r="L59" s="241">
        <f>(K59)/$G$85</f>
        <v>0.31389658897674549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3178.8808376392371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0.34528624787442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50862.093402227794</v>
      </c>
      <c r="K61" s="240">
        <f>Table161128[[#This Row],[عدد]]*Table161128[[#This Row],[سعر البرجولا كاملة]]</f>
        <v>5086.20934022278</v>
      </c>
      <c r="L61" s="241">
        <f>(K61)/$G$85</f>
        <v>0.031389658897674554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55948.302742450571</v>
      </c>
      <c r="L62" s="574">
        <f>Table161128[[#Totals],[اجمالي]]/$G$85</f>
        <v>0.34528624787442</v>
      </c>
    </row>
    <row r="63" ht="18" s="216" customFormat="1">
      <c r="C63" s="217"/>
      <c r="D63" s="895" t="s">
        <v>162</v>
      </c>
      <c r="E63" s="895"/>
      <c r="F63" s="895"/>
      <c r="G63" s="895"/>
      <c r="H63" s="895"/>
      <c r="I63" s="89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95" t="s">
        <v>132</v>
      </c>
      <c r="E67" s="895"/>
      <c r="F67" s="895"/>
      <c r="G67" s="895"/>
      <c r="H67" s="895"/>
      <c r="I67" s="89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0.010368158960948988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0.0051840794804744938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0.010368158960948988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0.0051840794804744938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0.024686092764164256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0.027771854359684787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0.024686092764164256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0.054309404081161361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0.029623311316997105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0.043200662337287449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0.037029139146246386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0.011108741743873914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0.28351977539642648</v>
      </c>
    </row>
    <row r="83" ht="18">
      <c r="A83" s="216"/>
      <c r="B83" s="216"/>
      <c r="C83" s="217"/>
      <c r="D83" s="900"/>
      <c r="E83" s="900"/>
      <c r="F83" s="900"/>
      <c r="G83" s="900"/>
      <c r="H83" s="900"/>
      <c r="I83" s="90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162034.55274245056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210644.91856518574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2"/>
      <c r="M2" s="893"/>
      <c r="N2" s="89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340</v>
      </c>
      <c r="E3" s="187">
        <v>2</v>
      </c>
      <c r="F3" s="384">
        <f>B3*C3*D3*E3</f>
        <v>7650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96" t="s">
        <v>17</v>
      </c>
      <c r="M3" s="89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98">
        <f>NOW()</f>
        <v>46163.37477422454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340</v>
      </c>
      <c r="E4" s="187">
        <f>CEILING(D1/60,1)+1</f>
        <v>10</v>
      </c>
      <c r="F4" s="384">
        <f>B4*C4*D4*E4</f>
        <v>4760.0000000000009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467.5</v>
      </c>
      <c r="V6" s="240">
        <f>M6*U6</f>
        <v>1402.5</v>
      </c>
      <c r="W6" s="241">
        <f>(V6)/$R$71</f>
        <v>0.015090786819098857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1567.5</v>
      </c>
      <c r="V7" s="240">
        <f>M7*U7</f>
        <v>3918.75</v>
      </c>
      <c r="W7" s="241">
        <f>(V7)/$R$71</f>
        <v>0.042165433759246806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5321.25</v>
      </c>
      <c r="W8" s="244">
        <f>Table158[[#Totals],[اجمالي]]/$R$71</f>
        <v>0.05725622057834566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95" t="s">
        <v>72</v>
      </c>
      <c r="P9" s="895"/>
      <c r="Q9" s="895"/>
      <c r="R9" s="895"/>
      <c r="S9" s="895"/>
      <c r="T9" s="89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0.0043039677202420983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0.002367182246133154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0.0013987895090786819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0.0021519838601210491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2877</v>
      </c>
      <c r="F15" s="387">
        <f>SUBTOTAL(109,Table8[اجمالي التكلفة])</f>
        <v>35962.5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0.025823806321452588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0.03604572965702757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95" t="s">
        <v>95</v>
      </c>
      <c r="P19" s="895"/>
      <c r="Q19" s="895"/>
      <c r="R19" s="895"/>
      <c r="S19" s="895"/>
      <c r="T19" s="89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385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41.25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95" t="s">
        <v>99</v>
      </c>
      <c r="P24" s="895"/>
      <c r="Q24" s="895"/>
      <c r="R24" s="895"/>
      <c r="S24" s="895"/>
      <c r="T24" s="89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0.00048419636852723607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0.00048419636852723607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0.00026899798251513114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0.0016139878950907868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0.00086079354404841959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0.0021519838601210491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0.022999327505043712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si="4" ca="1"/>
        <v>0.01936785474108944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si="4" ca="1"/>
        <v>0.023402824478816409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0.010221923335574984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0.010221923335574984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8557.5</v>
      </c>
      <c r="W45" s="244">
        <f>Table1359[[#Totals],[اجمالي]]/$R$71</f>
        <v>0.092078009414929385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95" t="s">
        <v>162</v>
      </c>
      <c r="P47" s="895"/>
      <c r="Q47" s="895"/>
      <c r="R47" s="895"/>
      <c r="S47" s="895"/>
      <c r="T47" s="89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35962.5</v>
      </c>
      <c r="V50" s="240">
        <f>M50*Table161368[[#This Row],[سعر الشبك ]]</f>
        <v>35962.5</v>
      </c>
      <c r="W50" s="241">
        <f t="shared" si="6" ca="1"/>
        <v>0.38695359784801614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35962.5</v>
      </c>
      <c r="V51" s="240">
        <f>M51*Table161368[[#This Row],[سعر الشبك ]]</f>
        <v>3596.25</v>
      </c>
      <c r="W51" s="241">
        <f t="shared" si="6" ca="1"/>
        <v>0.038695359784801611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39558.75</v>
      </c>
      <c r="W52" s="244">
        <f>Table161368[[#Totals],[اجمالي]]/$R$71</f>
        <v>0.42564895763281774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95" t="s">
        <v>132</v>
      </c>
      <c r="P53" s="895"/>
      <c r="Q53" s="895"/>
      <c r="R53" s="895"/>
      <c r="S53" s="895"/>
      <c r="T53" s="89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0.0060255548083389373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0.0060255548083389373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0.0090383322125084063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0.0090383322125084063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0.043039677202420981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0.032279757901815739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0.021519838601210491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0.094687289845326164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0.030127774041694689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0.12911903160726296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0.0080699394754539348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0.38897108271687963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92937.5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120818.75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2"/>
      <c r="M2" s="893"/>
      <c r="N2" s="89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340</v>
      </c>
      <c r="E3" s="187">
        <v>2</v>
      </c>
      <c r="F3" s="384">
        <f>B3*C3*D3*E3</f>
        <v>10710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96" t="s">
        <v>17</v>
      </c>
      <c r="M3" s="89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98">
        <f>NOW()</f>
        <v>46163.37477422454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340</v>
      </c>
      <c r="E4" s="187">
        <f>CEILING(D1/60,1)+1</f>
        <v>13</v>
      </c>
      <c r="F4" s="384">
        <f>B4*C4*D4*E4</f>
        <v>12376.000000000002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467.5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1567.5</v>
      </c>
      <c r="V7" s="240">
        <f>M7*U7</f>
        <v>6270</v>
      </c>
      <c r="W7" s="241">
        <f>(V7)/$R$71</f>
        <v>0.050407072618770962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6270</v>
      </c>
      <c r="W8" s="244">
        <f>Table15855[[#Totals],[اجمالي]]/$R$71</f>
        <v>0.050407072618770962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95" t="s">
        <v>72</v>
      </c>
      <c r="P9" s="895"/>
      <c r="Q9" s="895"/>
      <c r="R9" s="895"/>
      <c r="S9" s="895"/>
      <c r="T9" s="89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0.0032157622085340325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0.0017686692146937179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0.0010451227177735605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0.0064315244170680651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2093.8857142857141</v>
      </c>
      <c r="F17" s="387">
        <f>SUBTOTAL(109,Table823[اجمالي التكلفة])</f>
        <v>73286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0.012461078558069376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95" t="s">
        <v>95</v>
      </c>
      <c r="P19" s="895"/>
      <c r="Q19" s="895"/>
      <c r="R19" s="895"/>
      <c r="S19" s="895"/>
      <c r="T19" s="89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385</v>
      </c>
      <c r="V21" s="240">
        <f>M21*U21</f>
        <v>1540</v>
      </c>
      <c r="W21" s="241">
        <f>(V21)/$R$71</f>
        <v>0.012380684502856025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41.25</v>
      </c>
      <c r="V22" s="240">
        <f>M22*U22</f>
        <v>660</v>
      </c>
      <c r="W22" s="251">
        <f>(V22)/$R$71</f>
        <v>0.0053060076440811536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2200</v>
      </c>
      <c r="W23" s="244">
        <f>Table166241[[#Totals],[اجمالي]]/$R$71</f>
        <v>0.017686692146937178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95" t="s">
        <v>99</v>
      </c>
      <c r="P24" s="895"/>
      <c r="Q24" s="895"/>
      <c r="R24" s="895"/>
      <c r="S24" s="895"/>
      <c r="T24" s="89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0.0024332600711240854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0.00036177324846007865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0.00036177324846007865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0.0006029554141001311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0.0036177324846007864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0.0009647286625602098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0.0016078811042670163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0.024761369005712051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0.028941859876806291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0.0349714140178076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0.0013869582405407286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0.0013869582405407286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12612.706666666669</v>
      </c>
      <c r="W45" s="513">
        <f>Table135926[[#Totals],[اجمالي]]/$R$71</f>
        <v>0.1013986636149798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95" t="s">
        <v>162</v>
      </c>
      <c r="P47" s="895"/>
      <c r="Q47" s="895"/>
      <c r="R47" s="895"/>
      <c r="S47" s="895"/>
      <c r="T47" s="89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73286</v>
      </c>
      <c r="V50" s="240">
        <f>M50*Table16136845[[#This Row],[سعر الشبك ]]</f>
        <v>73286</v>
      </c>
      <c r="W50" s="241">
        <f t="shared" si="6"/>
        <v>0.58917587303656271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73286</v>
      </c>
      <c r="V51" s="240">
        <f>M51*Table16136845[[#This Row],[سعر الشبك ]]</f>
        <v>7328.6</v>
      </c>
      <c r="W51" s="241">
        <f t="shared" si="6"/>
        <v>0.058917587303656281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80614.6</v>
      </c>
      <c r="W52" s="244">
        <f>Table16136845[[#Totals],[اجمالي]]/$R$71</f>
        <v>0.64809346034021909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95" t="s">
        <v>132</v>
      </c>
      <c r="P53" s="895"/>
      <c r="Q53" s="895"/>
      <c r="R53" s="895"/>
      <c r="S53" s="895"/>
      <c r="T53" s="89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0.0090041341838952918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0.0090041341838952918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0.0045020670919476459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0.006753100637921468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0.016078811042670161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0.012059108282002622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0.064315244170680644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0.048236433128010486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0.16995303272102361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124387.30666666667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161703.49866666668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A31" zoomScale="55" zoomScaleNormal="55" workbookViewId="0">
      <selection activeCell="E28" sqref="E28:E53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0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0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808" t="s">
        <v>219</v>
      </c>
      <c r="T5" s="809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30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4590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0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750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200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 t="str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error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4875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 t="e">
        <f>AE8*AE7</f>
        <v>#VALUE!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310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310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19496.100000000002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901">
        <f>N6+N9+N10+N11</f>
        <v>14997</v>
      </c>
      <c r="O18" s="90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901"/>
      <c r="O19" s="90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901"/>
      <c r="O20" s="90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809"/>
      <c r="W21" s="810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901">
        <f>N18*1.8</f>
        <v>26994.600000000002</v>
      </c>
      <c r="O22" s="90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901"/>
      <c r="O23" s="901"/>
      <c r="P23" s="357"/>
      <c r="R23" s="332"/>
      <c r="AG23" s="357"/>
    </row>
    <row r="24">
      <c r="A24" s="318"/>
      <c r="N24" s="901"/>
      <c r="O24" s="90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3</v>
      </c>
      <c r="B28" s="320">
        <v>70</v>
      </c>
      <c r="C28" s="566" t="s">
        <v>274</v>
      </c>
      <c r="D28" s="320">
        <f>Sheet2!B12/1000</f>
        <v>55</v>
      </c>
      <c r="E28" s="314">
        <f>Table12[[#This Row],[سعر]]*Table12[[#This Row],[ميزان]]*Table12[[#This Row],[عدد]]</f>
        <v>11550</v>
      </c>
      <c r="F28" s="313">
        <f>16*3.14*Table12[[#This Row],[عدد]]*0.05</f>
        <v>7.5360000000000005</v>
      </c>
      <c r="G28" s="313">
        <f>Table12[[#This Row],[ميزان]]*Table12[[#This Row],[عدد]]</f>
        <v>210</v>
      </c>
      <c r="U28" s="377"/>
    </row>
    <row r="29" ht="35.25" customHeight="1">
      <c r="A29" s="339">
        <f>IF((تسعير!T53="بالتات"),(تسعير!T47+1),0)</f>
        <v>0</v>
      </c>
      <c r="B29" s="320">
        <v>62</v>
      </c>
      <c r="C29" s="331" t="s">
        <v>275</v>
      </c>
      <c r="D29" s="320">
        <f>Sheet2!B12/1000</f>
        <v>55</v>
      </c>
      <c r="E29" s="314">
        <f>Table12[[#This Row],[سعر]]*Table12[[#This Row],[ميزان]]*Table12[[#This Row],[عدد]]</f>
        <v>0</v>
      </c>
      <c r="F29" s="340">
        <f>16*3.14*Table12[[#This Row],[عدد]]*0.04</f>
        <v>0</v>
      </c>
      <c r="G29" s="313">
        <f>Table12[[#This Row],[ميزان]]*Table12[[#This Row],[عدد]]</f>
        <v>0</v>
      </c>
      <c r="I29" s="216"/>
      <c r="J29" s="216"/>
      <c r="K29" s="217"/>
      <c r="L29" s="895" t="s">
        <v>132</v>
      </c>
      <c r="M29" s="895"/>
      <c r="N29" s="895"/>
      <c r="O29" s="895"/>
      <c r="P29" s="895"/>
      <c r="Q29" s="895"/>
      <c r="R29" s="216"/>
      <c r="S29" s="216"/>
      <c r="T29" s="216"/>
      <c r="U29" s="377"/>
    </row>
    <row r="30" ht="35.25" customHeight="1">
      <c r="A30" s="339">
        <f>A28+A29</f>
        <v>3</v>
      </c>
      <c r="B30" s="320">
        <v>28</v>
      </c>
      <c r="C30" s="331" t="s">
        <v>276</v>
      </c>
      <c r="D30" s="320">
        <f>Sheet2!B12/1000</f>
        <v>55</v>
      </c>
      <c r="E30" s="314">
        <f>Table12[[#This Row],[سعر]]*Table12[[#This Row],[ميزان]]*Table12[[#This Row],[عدد]]</f>
        <v>4620</v>
      </c>
      <c r="F30" s="313">
        <f>3*6*Table12[[#This Row],[عدد]]/10</f>
        <v>5.4</v>
      </c>
      <c r="G30" s="313">
        <f>Table12[[#This Row],[ميزان]]*Table12[[#This Row],[عدد]]</f>
        <v>84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3</v>
      </c>
      <c r="B31" s="320">
        <v>19</v>
      </c>
      <c r="C31" s="566" t="s">
        <v>278</v>
      </c>
      <c r="D31" s="320">
        <f>(Sheet2!B12/1000)+17</f>
        <v>72</v>
      </c>
      <c r="E31" s="314">
        <f>Table12[[#This Row],[سعر]]*Table12[[#This Row],[ميزان]]*Table12[[#This Row],[عدد]]</f>
        <v>4104</v>
      </c>
      <c r="F31" s="313">
        <f>16*3.14*Table12[[#This Row],[عدد]]</f>
        <v>150.72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6</v>
      </c>
      <c r="B32" s="320">
        <v>23</v>
      </c>
      <c r="C32" s="331" t="s">
        <v>279</v>
      </c>
      <c r="D32" s="320">
        <f>(Sheet2!B12/1000)+17</f>
        <v>72</v>
      </c>
      <c r="E32" s="314">
        <f>Table12[[#This Row],[سعر]]*Table12[[#This Row],[ميزان]]*Table12[[#This Row],[عدد]]</f>
        <v>9936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3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360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18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2160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8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560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200</v>
      </c>
      <c r="M35" s="211" t="str">
        <f>تسعير!$T$45</f>
        <v>الساحل الشمالي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600</v>
      </c>
      <c r="R35" s="240">
        <f>Table161243[[#This Row],[الايام]]*Q35</f>
        <v>2400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63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7875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200</v>
      </c>
      <c r="M36" s="211" t="str">
        <f>تسعير!$T$45</f>
        <v>الساحل الشمالي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1200</v>
      </c>
      <c r="R36" s="240">
        <f>Table161243[[#This Row],[الايام]]*Q36</f>
        <v>3600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9.4</v>
      </c>
      <c r="B37" s="320">
        <v>1</v>
      </c>
      <c r="C37" s="331" t="s">
        <v>111</v>
      </c>
      <c r="D37" s="320">
        <f>IF(تسعير!$T$46=Sheet2!B2,Sheet2!B27,Sheet2!B18)</f>
        <v>360</v>
      </c>
      <c r="E37" s="342">
        <f>Table12[[#This Row],[سعر]]*Table12[[#This Row],[ميزان]]*Table12[[#This Row],[عدد]]</f>
        <v>3384</v>
      </c>
      <c r="F37" s="313">
        <f>ROUND((Table12[[#This Row],[Column7]]*1.8),1)</f>
        <v>9.4</v>
      </c>
      <c r="G37" s="343">
        <f>ROUND((F29+F30+F28+F48+F52)*0.4,1)</f>
        <v>5.2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200</v>
      </c>
      <c r="M37" s="211" t="str">
        <f>تسعير!$T$45</f>
        <v>الساحل الشمالي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600</v>
      </c>
      <c r="R37" s="240">
        <f>Table161243[[#This Row],[الايام]]*Q37</f>
        <v>1800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9.4</v>
      </c>
      <c r="B38" s="320">
        <v>1</v>
      </c>
      <c r="C38" s="331" t="s">
        <v>110</v>
      </c>
      <c r="D38" s="320">
        <f>IF(تسعير!$T$46=Sheet2!$B$2,Sheet2!B26,Sheet2!B20)</f>
        <v>435</v>
      </c>
      <c r="E38" s="342">
        <f>Table12[[#This Row],[سعر]]*Table12[[#This Row],[ميزان]]*Table12[[#This Row],[عدد]]</f>
        <v>4089</v>
      </c>
      <c r="F38" s="313">
        <f>ROUND((Table12[[#This Row],[Column7]]*1.8),1)</f>
        <v>9.4</v>
      </c>
      <c r="G38" s="343">
        <f>ROUND((F29+F30+F28+F48+F52)*0.4,1)</f>
        <v>5.2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200</v>
      </c>
      <c r="M38" s="211" t="str">
        <f>تسعير!$T$45</f>
        <v>الساحل الشمالي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9.4</v>
      </c>
      <c r="B39" s="320">
        <v>1</v>
      </c>
      <c r="C39" s="331" t="s">
        <v>45</v>
      </c>
      <c r="D39" s="320">
        <f>IF(تسعير!$T$46=Sheet2!$B$2,Sheet2!B25,Sheet2!B22)</f>
        <v>190</v>
      </c>
      <c r="E39" s="342">
        <f>Table12[[#This Row],[سعر]]*Table12[[#This Row],[ميزان]]*Table12[[#This Row],[عدد]]</f>
        <v>1786</v>
      </c>
      <c r="F39" s="313">
        <f>ROUND((Table12[[#This Row],[Column7]]*1.8),1)</f>
        <v>9.4</v>
      </c>
      <c r="G39" s="343">
        <f>ROUND((F29+F30+F28+F48+F52)*0.4,1)</f>
        <v>5.2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الساحل الشمالي</v>
      </c>
      <c r="N39" s="214"/>
      <c r="O39" s="247">
        <f>SUMIF(Table17[Column1],Table161243[[#This Row],[موقع العمل]],Table17[خارجي])</f>
        <v>180</v>
      </c>
      <c r="P39" s="247"/>
      <c r="Q39" s="243">
        <f>Table161243[[#This Row],[Column12]]</f>
        <v>180</v>
      </c>
      <c r="R39" s="240">
        <f ref="R39:R43" t="shared" si="3">I39*Q39</f>
        <v>3600</v>
      </c>
      <c r="S39" s="241" t="e">
        <f t="shared" si="2"/>
        <v>#DIV/0!</v>
      </c>
      <c r="U39" s="377"/>
    </row>
    <row r="40" ht="35.25" customHeight="1">
      <c r="A40" s="341">
        <f>ROUND((F29+F30+F28)*0.4/3,0)</f>
        <v>2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800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الساحل الشمالي</v>
      </c>
      <c r="N40" s="214"/>
      <c r="O40" s="247">
        <f>SUMIF(Table17[Column1],Table161243[[#This Row],[موقع العمل]],Table17[داخلي])</f>
        <v>300</v>
      </c>
      <c r="P40" s="247"/>
      <c r="Q40" s="243">
        <f>Table161243[[#This Row],[Column12]]</f>
        <v>300</v>
      </c>
      <c r="R40" s="240">
        <f t="shared" si="3"/>
        <v>1800</v>
      </c>
      <c r="S40" s="241" t="e">
        <f t="shared" si="2"/>
        <v>#DIV/0!</v>
      </c>
      <c r="U40" s="377"/>
    </row>
    <row r="41" ht="35.25" customHeight="1">
      <c r="A41" s="341">
        <f>(A28+A30+A29)*5</f>
        <v>30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750</v>
      </c>
      <c r="I41" s="212">
        <v>2</v>
      </c>
      <c r="J41" s="371" t="s">
        <v>149</v>
      </c>
      <c r="K41" s="211"/>
      <c r="L41" s="211"/>
      <c r="M41" s="211" t="str">
        <f>تسعير!$T$45</f>
        <v>الساحل الشمالي</v>
      </c>
      <c r="N41" s="214"/>
      <c r="O41" s="247">
        <f>SUMIF(Table17[Column1],Table161243[[#This Row],[موقع العمل]],Table17[دبابة])</f>
        <v>3000</v>
      </c>
      <c r="P41" s="247"/>
      <c r="Q41" s="243">
        <f>Table161243[[#This Row],[Column12]]</f>
        <v>3000</v>
      </c>
      <c r="R41" s="240">
        <f t="shared" si="3"/>
        <v>6000</v>
      </c>
      <c r="S41" s="241" t="e">
        <f t="shared" si="2"/>
        <v>#DIV/0!</v>
      </c>
      <c r="U41" s="377"/>
    </row>
    <row r="42" ht="35.25" customHeight="1">
      <c r="A42" s="341">
        <f>(A28+A30+A29)*5</f>
        <v>30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750</v>
      </c>
      <c r="I42" s="212">
        <v>2</v>
      </c>
      <c r="J42" s="371" t="s">
        <v>150</v>
      </c>
      <c r="K42" s="211"/>
      <c r="L42" s="211"/>
      <c r="M42" s="211" t="str">
        <f>تسعير!$T$45</f>
        <v>الساحل الشمالي</v>
      </c>
      <c r="N42" s="214"/>
      <c r="O42" s="247">
        <f>SUMIF(Table17[Column1],Table161243[[#This Row],[موقع العمل]],Table17[جامبو])</f>
        <v>5000</v>
      </c>
      <c r="P42" s="247"/>
      <c r="Q42" s="243">
        <f>Table161243[[#This Row],[Column12]]</f>
        <v>5000</v>
      </c>
      <c r="R42" s="240">
        <f t="shared" si="3"/>
        <v>10000</v>
      </c>
      <c r="S42" s="241" t="e">
        <f t="shared" si="2"/>
        <v>#DIV/0!</v>
      </c>
      <c r="U42" s="377"/>
    </row>
    <row r="43" ht="35.25" customHeight="1">
      <c r="A43" s="341">
        <f>A28+A29+A30</f>
        <v>6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150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الساحل الشمالي</v>
      </c>
      <c r="N43" s="214"/>
      <c r="O43" s="247">
        <f>SUMIF(Table17[Column1],Table161243[[#This Row],[موقع العمل]],Table17[الاقامة])</f>
        <v>1000</v>
      </c>
      <c r="P43" s="247"/>
      <c r="Q43" s="243">
        <f>Table161243[[#This Row],[Column12]]</f>
        <v>1000</v>
      </c>
      <c r="R43" s="240">
        <f t="shared" si="3"/>
        <v>6000</v>
      </c>
      <c r="S43" s="241" t="e">
        <f t="shared" si="2"/>
        <v>#DIV/0!</v>
      </c>
      <c r="U43" s="377"/>
    </row>
    <row r="44" ht="35.25" customHeight="1">
      <c r="A44" s="341">
        <f>(A28+A30+A29)*1</f>
        <v>6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150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9480</v>
      </c>
      <c r="P44" s="570"/>
      <c r="Q44" s="242"/>
      <c r="R44" s="573">
        <f>SUBTOTAL(109,Table161243[اجمالي])</f>
        <v>38560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6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240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294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5880</v>
      </c>
      <c r="U46" s="377"/>
    </row>
    <row r="47" ht="25.5" customHeight="1">
      <c r="A47" s="341">
        <f>IF((تسعير!T53="بالتات"),0,(A28+A29))</f>
        <v>3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3600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0">
        <v>30</v>
      </c>
      <c r="C48" s="331" t="s">
        <v>285</v>
      </c>
      <c r="D48" s="320">
        <f>Sheet2!B12/1000</f>
        <v>55</v>
      </c>
      <c r="E48" s="342">
        <f>Table12[[#This Row],[سعر]]*Table12[[#This Row],[ميزان]]*Table12[[#This Row],[عدد]]</f>
        <v>0</v>
      </c>
      <c r="F48" s="313">
        <f>0.5*0.5*Table12[[#This Row],[عدد]]</f>
        <v>0</v>
      </c>
      <c r="G48" s="313">
        <f>Table12[[#This Row],[ميزان]]*Table12[[#This Row],[عدد]]</f>
        <v>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0</v>
      </c>
      <c r="J49" s="372" t="s">
        <v>288</v>
      </c>
      <c r="K49" s="214"/>
      <c r="L49" s="211"/>
      <c r="M49" s="280"/>
      <c r="N49" s="281">
        <f>Table12[[#Totals],[Column5]]+Table161243[[#Totals],[اجمالي]]</f>
        <v>105204</v>
      </c>
      <c r="U49" s="377"/>
    </row>
    <row r="50" ht="25.5" customHeight="1">
      <c r="A50" s="341">
        <f>A47*2</f>
        <v>6</v>
      </c>
      <c r="B50" s="320">
        <v>10</v>
      </c>
      <c r="C50" s="331" t="s">
        <v>289</v>
      </c>
      <c r="D50" s="320">
        <f>Sheet2!B12/1000</f>
        <v>55</v>
      </c>
      <c r="E50" s="342">
        <f>Table12[[#This Row],[سعر]]*Table12[[#This Row],[ميزان]]*Table12[[#This Row],[عدد]]</f>
        <v>3300</v>
      </c>
      <c r="J50" s="213" t="s">
        <v>153</v>
      </c>
      <c r="K50" s="214"/>
      <c r="L50" s="211"/>
      <c r="M50" s="280"/>
      <c r="N50" s="281">
        <f>N49+N48</f>
        <v>105204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0.35</v>
      </c>
      <c r="N51" s="281">
        <f>N50*(1+Table1856[[#This Row],[Column3]])</f>
        <v>142025.40000000002</v>
      </c>
      <c r="U51" s="377"/>
    </row>
    <row r="52" ht="25.5" customHeight="1">
      <c r="A52" s="341">
        <f>A48*4</f>
        <v>0</v>
      </c>
      <c r="B52" s="320">
        <v>1</v>
      </c>
      <c r="C52" s="331" t="s">
        <v>290</v>
      </c>
      <c r="D52" s="320">
        <f>Sheet2!B12/1000</f>
        <v>55</v>
      </c>
      <c r="E52" s="342">
        <f>Table12[[#This Row],[سعر]]*Table12[[#This Row],[ميزان]]*Table12[[#This Row],[عدد]]</f>
        <v>0</v>
      </c>
      <c r="F52" s="313">
        <f>0.15*0.15/2*Table12[[#This Row],[عدد]]</f>
        <v>0</v>
      </c>
      <c r="G52" s="313">
        <f>Table12[[#This Row],[ميزان]]*Table12[[#This Row],[عدد]]</f>
        <v>0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66644</v>
      </c>
      <c r="F54" s="345">
        <f>Table12[[#Totals],[Column5]]/(تسعير!T54*تسعير!T55/10000)</f>
        <v>1332.88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55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55</v>
      </c>
      <c r="E62" s="314">
        <f>Table1257[[#This Row],[سعر]]*Table1257[[#This Row],[ميزان]]*Table1257[[#This Row],[عدد]]</f>
        <v>6820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95" t="s">
        <v>132</v>
      </c>
      <c r="M62" s="895"/>
      <c r="N62" s="895"/>
      <c r="O62" s="895"/>
      <c r="P62" s="895"/>
      <c r="Q62" s="89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55</v>
      </c>
      <c r="E63" s="314">
        <f>Table1257[[#This Row],[سعر]]*Table1257[[#This Row],[ميزان]]*Table1257[[#This Row],[عدد]]</f>
        <v>3080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72</v>
      </c>
      <c r="E64" s="314">
        <f>Table1257[[#This Row],[سعر]]*Table1257[[#This Row],[ميزان]]*Table1257[[#This Row],[عدد]]</f>
        <v>8208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72</v>
      </c>
      <c r="E65" s="314">
        <f>Table1257[[#This Row],[سعر]]*Table1257[[#This Row],[ميزان]]*Table1257[[#This Row],[عدد]]</f>
        <v>6624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150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1100</v>
      </c>
      <c r="R68" s="240">
        <f>Table16124360[[#This Row],[عدد]]*Q68</f>
        <v>4400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150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1100</v>
      </c>
      <c r="R69" s="240">
        <f>Table16124360[[#This Row],[عدد]]*Q69</f>
        <v>3300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150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550</v>
      </c>
      <c r="R70" s="240">
        <f>Table16124360[[#This Row],[عدد]]*Q70</f>
        <v>1650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IF(تسعير!$T$64=Sheet2!B2,Sheet2!B27,Sheet2!B18)</f>
        <v>360</v>
      </c>
      <c r="E71" s="568">
        <f>Table1257[[#This Row],[سعر]]*Table1257[[#This Row],[ميزان]]*Table1257[[#This Row],[عدد]]</f>
        <v>2124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150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IF(تسعير!$T$64=Sheet2!$B$2,Sheet2!B26,Sheet2!B20)</f>
        <v>435</v>
      </c>
      <c r="E72" s="568">
        <f>Table1257[[#This Row],[سعر]]*Table1257[[#This Row],[ميزان]]*Table1257[[#This Row],[عدد]]</f>
        <v>2566.5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IF(تسعير!$T$64=Sheet2!$B$2,Sheet2!B25,Sheet2!B22)</f>
        <v>190</v>
      </c>
      <c r="E73" s="568">
        <f>Table1257[[#This Row],[سعر]]*Table1257[[#This Row],[ميزان]]*Table1257[[#This Row],[عدد]]</f>
        <v>1121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68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200</v>
      </c>
      <c r="P76" s="247"/>
      <c r="Q76" s="243">
        <f>Table16124360[[#This Row],[Column12]]</f>
        <v>200</v>
      </c>
      <c r="R76" s="240">
        <f t="shared" si="6"/>
        <v>1600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10500</v>
      </c>
      <c r="P77" s="570"/>
      <c r="Q77" s="242"/>
      <c r="R77" s="573">
        <f>SUBTOTAL(109,Table16124360[اجمالي])</f>
        <v>43670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55</v>
      </c>
      <c r="E82" s="342">
        <f>Table1257[[#This Row],[سعر]]*Table1257[[#This Row],[ميزان]]*Table1257[[#This Row],[عدد]]</f>
        <v>3300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95037.5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95037.5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55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123548.75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55</v>
      </c>
      <c r="E86" s="342">
        <f>Table1257[[#This Row],[سعر]]*Table1257[[#This Row],[ميزان]]*Table1257[[#This Row],[عدد]]</f>
        <v>440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51367.5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89" t="s">
        <v>0</v>
      </c>
      <c r="BH1" s="890"/>
      <c r="BI1" s="89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92"/>
      <c r="M2" s="893"/>
      <c r="N2" s="89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92"/>
      <c r="BH2" s="893"/>
      <c r="BI2" s="89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111871.99999999999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96" t="s">
        <v>17</v>
      </c>
      <c r="M3" s="89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98">
        <f>NOW()</f>
        <v>46163.37477422454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87400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96" t="s">
        <v>17</v>
      </c>
      <c r="BH3" s="89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98">
        <f>NOW()</f>
        <v>46163.37477422454</v>
      </c>
      <c r="BN3" s="899"/>
      <c r="BO3" s="89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11552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6460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95" t="s">
        <v>20</v>
      </c>
      <c r="BK4" s="895"/>
      <c r="BL4" s="895"/>
      <c r="BM4" s="895"/>
      <c r="BN4" s="895"/>
      <c r="BO4" s="89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14440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5168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5168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3135</v>
      </c>
      <c r="V6" s="240">
        <f>M6*U6</f>
        <v>3135</v>
      </c>
      <c r="W6" s="241">
        <f>(V6)/$R$68</f>
        <v>0.010132612791979237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3135</v>
      </c>
      <c r="BQ6" s="240">
        <f>BH6*BP6</f>
        <v>3135</v>
      </c>
      <c r="BR6" s="241">
        <f>(BQ6)/$R$68</f>
        <v>0.010132612791979237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6460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2035</v>
      </c>
      <c r="V7" s="240">
        <f>M7*U7</f>
        <v>8140</v>
      </c>
      <c r="W7" s="241">
        <f>(V7)/$R$68</f>
        <v>0.026309240231805739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2035</v>
      </c>
      <c r="BQ7" s="240">
        <f>BH7*BP7</f>
        <v>8140</v>
      </c>
      <c r="BR7" s="241">
        <f>(BQ7)/$R$68</f>
        <v>0.026309240231805739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1976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2420</v>
      </c>
      <c r="V8" s="240">
        <f>M8*U8</f>
        <v>9680</v>
      </c>
      <c r="W8" s="241">
        <f>(V8)/$R$68</f>
        <v>0.031286664059444663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2420</v>
      </c>
      <c r="BQ8" s="240">
        <f>BH8*BP8</f>
        <v>9680</v>
      </c>
      <c r="BR8" s="241">
        <f>(BQ8)/$R$68</f>
        <v>0.031286664059444663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4620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4620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20955</v>
      </c>
      <c r="W11" s="244">
        <f>Table15880[[#Totals],[اجمالي]]/$R$68</f>
        <v>0.067728517083229633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20955</v>
      </c>
      <c r="BR11" s="244">
        <f>Table1588090[[#Totals],[اجمالي]]/$R$68</f>
        <v>0.067728517083229633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95" t="s">
        <v>72</v>
      </c>
      <c r="P12" s="895"/>
      <c r="Q12" s="895"/>
      <c r="R12" s="895"/>
      <c r="S12" s="895"/>
      <c r="T12" s="89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95" t="s">
        <v>72</v>
      </c>
      <c r="BK12" s="895"/>
      <c r="BL12" s="895"/>
      <c r="BM12" s="895"/>
      <c r="BN12" s="895"/>
      <c r="BO12" s="89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0.0025856747156565835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6564.2225000000008</v>
      </c>
      <c r="AX14" s="194"/>
      <c r="AY14" s="194"/>
      <c r="AZ14" s="194"/>
      <c r="BA14" s="194">
        <f>SUBTOTAL(109,Table8091[price])</f>
        <v>119349.5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0.0025856747156565835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0.00071106054680556048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0.00071106054680556048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0.00042017214129419484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0.00042017214129419484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0.0025856747156565835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0.0025856747156565835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0.0063025821194129224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0.0063025821194129224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95" t="s">
        <v>95</v>
      </c>
      <c r="P20" s="895"/>
      <c r="Q20" s="895"/>
      <c r="R20" s="895"/>
      <c r="S20" s="895"/>
      <c r="T20" s="89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95" t="s">
        <v>95</v>
      </c>
      <c r="BK20" s="895"/>
      <c r="BL20" s="895"/>
      <c r="BM20" s="895"/>
      <c r="BN20" s="895"/>
      <c r="BO20" s="89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660</v>
      </c>
      <c r="V22" s="240">
        <f>M22*U22</f>
        <v>1320</v>
      </c>
      <c r="W22" s="249">
        <f>(V22)/$R$68</f>
        <v>0.0042663632808333631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660</v>
      </c>
      <c r="BQ22" s="240">
        <f>BH22*BP22</f>
        <v>1320</v>
      </c>
      <c r="BR22" s="249">
        <f>(BQ22)/$R$68</f>
        <v>0.0042663632808333631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385</v>
      </c>
      <c r="V23" s="240">
        <f>M23*U23</f>
        <v>770</v>
      </c>
      <c r="W23" s="241">
        <f>(V23)/$R$68</f>
        <v>0.0024887119138194617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385</v>
      </c>
      <c r="BQ23" s="240">
        <f>BH23*BP23</f>
        <v>770</v>
      </c>
      <c r="BR23" s="241">
        <f>(BQ23)/$R$68</f>
        <v>0.0024887119138194617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10709.600000000002</v>
      </c>
      <c r="C24" s="194"/>
      <c r="D24" s="194"/>
      <c r="E24" s="194"/>
      <c r="F24" s="194">
        <f>SUBTOTAL(109,Table80102114[price])</f>
        <v>194720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41.25</v>
      </c>
      <c r="V24" s="240">
        <f>M24*U24</f>
        <v>330</v>
      </c>
      <c r="W24" s="251">
        <f>(V24)/$R$68</f>
        <v>0.0010665908202083408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41.25</v>
      </c>
      <c r="BQ24" s="240">
        <f>BH24*BP24</f>
        <v>330</v>
      </c>
      <c r="BR24" s="251">
        <f>(BQ24)/$R$68</f>
        <v>0.0010665908202083408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2420</v>
      </c>
      <c r="W25" s="244">
        <f>Table166273[[#Totals],[اجمالي]]/$R$68</f>
        <v>0.0078216660148611658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2420</v>
      </c>
      <c r="BR25" s="244">
        <f>Table16627383[[#Totals],[اجمالي]]/$R$68</f>
        <v>0.0078216660148611658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95" t="s">
        <v>99</v>
      </c>
      <c r="P26" s="895"/>
      <c r="Q26" s="895"/>
      <c r="R26" s="895"/>
      <c r="S26" s="895"/>
      <c r="T26" s="89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95" t="s">
        <v>99</v>
      </c>
      <c r="BK26" s="895"/>
      <c r="BL26" s="895"/>
      <c r="BM26" s="895"/>
      <c r="BN26" s="895"/>
      <c r="BO26" s="89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1032</v>
      </c>
      <c r="BR28" s="241">
        <f ref="BR28:BR41" t="shared" si="9" ca="1">(BQ28)/$R$68</f>
        <v>0.003335520383196993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0.00024240700459280472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0.00017453304330681938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0.00024240700459280472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0.00017453304330681938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0.00012928373578282917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8.0802334864268235E-05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0.00048481400918560944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0.00048481400918560944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0.00025856747156565834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0.00025856747156565834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2860</v>
      </c>
      <c r="BR34" s="251">
        <f t="shared" si="9" ca="1"/>
        <v>0.0092437871084722865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0.0012281954899368772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0.0024563909798737543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0.013186941049848577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0.038882083536685874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7200</v>
      </c>
      <c r="W39" s="251">
        <f t="shared" si="7" ca="1"/>
        <v>0.023271072440909254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8700</v>
      </c>
      <c r="W40" s="251">
        <f t="shared" si="7" ca="1"/>
        <v>0.028119212532765347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950</v>
      </c>
      <c r="W41" s="251">
        <f t="shared" si="7" ca="1"/>
        <v>0.0030704887248421929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950</v>
      </c>
      <c r="W42" s="251">
        <f t="shared" si="7" ca="1"/>
        <v>0.0030704887248421929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9095</v>
      </c>
      <c r="BR42" s="244">
        <f>Table13597166[[#Totals],[اجمالي]]/$R$68</f>
        <v>0.029395889423620786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30630</v>
      </c>
      <c r="W43" s="244">
        <f>Table135971[[#Totals],[اجمالي]]/$R$68</f>
        <v>0.098999020675701446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95" t="s">
        <v>162</v>
      </c>
      <c r="BK44" s="895"/>
      <c r="BL44" s="895"/>
      <c r="BM44" s="895"/>
      <c r="BN44" s="895"/>
      <c r="BO44" s="89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95" t="s">
        <v>162</v>
      </c>
      <c r="P45" s="895"/>
      <c r="Q45" s="895"/>
      <c r="R45" s="895"/>
      <c r="S45" s="895"/>
      <c r="T45" s="89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119349.5</v>
      </c>
      <c r="BQ46" s="252">
        <f>BH46*Table1613687787[[#This Row],[سعر الشبك ]]</f>
        <v>119349.5</v>
      </c>
      <c r="BR46" s="241">
        <f>(BQ46)/$R$68</f>
        <v>0.38574873059531928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194720</v>
      </c>
      <c r="V47" s="252">
        <f>M47*Table16136877[[#This Row],[سعر الشبك ]]</f>
        <v>194720</v>
      </c>
      <c r="W47" s="241">
        <f>(V47)/$R$68</f>
        <v>0.62935322579081243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119349.5</v>
      </c>
      <c r="BQ47" s="240">
        <f>BH47*Table1613687787[[#This Row],[سعر الشبك ]]</f>
        <v>11934.95</v>
      </c>
      <c r="BR47" s="241">
        <f>(BQ47)/$R$68</f>
        <v>0.038574873059531931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194720</v>
      </c>
      <c r="V48" s="240">
        <f>M48*Table16136877[[#This Row],[سعر الشبك ]]</f>
        <v>19472</v>
      </c>
      <c r="W48" s="241">
        <f>(V48)/$R$68</f>
        <v>0.062935322579081243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131284.45</v>
      </c>
      <c r="BR48" s="244">
        <f>Table1613687787[[#Totals],[اجمالي]]/$R$68</f>
        <v>0.42432360365485122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214192</v>
      </c>
      <c r="W49" s="244">
        <f>Table16136877[[#Totals],[اجمالي]]/$R$68</f>
        <v>0.69228854836989373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95" t="s">
        <v>132</v>
      </c>
      <c r="BK49" s="895"/>
      <c r="BL49" s="895"/>
      <c r="BM49" s="895"/>
      <c r="BN49" s="895"/>
      <c r="BO49" s="89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95" t="s">
        <v>132</v>
      </c>
      <c r="P50" s="895"/>
      <c r="Q50" s="895"/>
      <c r="R50" s="895"/>
      <c r="S50" s="895"/>
      <c r="T50" s="89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0.0018099723009596086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0.0018099723009596086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0.0018099723009596086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0.0018099723009596086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0.0054299169028788254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0.0054299169028788254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0.012928373578282918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0.012928373578282918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0.00969628018371219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0.00969628018371219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0.012928373578282918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0.012928373578282918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0.022753937497777935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0.028442421872222418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0.011635536220454627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0.011635536220454627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0.038785120734848758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0.038785120734848758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0.0033936980642992661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0.0033936980642992661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0.12117118136245665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0.12685966573690113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900"/>
      <c r="BK65" s="900"/>
      <c r="BL65" s="900"/>
      <c r="BM65" s="900"/>
      <c r="BN65" s="900"/>
      <c r="BO65" s="90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900"/>
      <c r="P66" s="900"/>
      <c r="Q66" s="900"/>
      <c r="R66" s="900"/>
      <c r="S66" s="900"/>
      <c r="T66" s="90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203194.45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309397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264152.78500000003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371276.39999999997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90" t="s">
        <v>0</v>
      </c>
      <c r="BH71" s="890"/>
      <c r="BI71" s="89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90" t="s">
        <v>0</v>
      </c>
      <c r="M72" s="890"/>
      <c r="N72" s="89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902"/>
      <c r="BH72" s="902"/>
      <c r="BI72" s="90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902"/>
      <c r="M73" s="902"/>
      <c r="N73" s="90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55000</v>
      </c>
      <c r="T73" s="293">
        <f>Sheet2!B13</f>
        <v>65000</v>
      </c>
      <c r="U73" s="293">
        <f>Sheet2!B14</f>
        <v>310000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904" t="s">
        <v>17</v>
      </c>
      <c r="BH73" s="90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99">
        <f>NOW()</f>
        <v>46163.374774432872</v>
      </c>
      <c r="BN73" s="899"/>
      <c r="BO73" s="89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903" t="s">
        <v>17</v>
      </c>
      <c r="M74" s="90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99">
        <f>NOW()</f>
        <v>46163.374774432872</v>
      </c>
      <c r="S74" s="899"/>
      <c r="T74" s="89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87400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95" t="s">
        <v>20</v>
      </c>
      <c r="BK74" s="895"/>
      <c r="BL74" s="895"/>
      <c r="BM74" s="895"/>
      <c r="BN74" s="895"/>
      <c r="BO74" s="89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95" t="s">
        <v>20</v>
      </c>
      <c r="P75" s="895"/>
      <c r="Q75" s="895"/>
      <c r="R75" s="895"/>
      <c r="S75" s="895"/>
      <c r="T75" s="89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6460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100095.99999999999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5168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4620</v>
      </c>
      <c r="BQ76" s="240">
        <f>BH76*BP76</f>
        <v>9240</v>
      </c>
      <c r="BR76" s="241">
        <f>(BQ76)/$R$68</f>
        <v>0.029864542965833539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10336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4620</v>
      </c>
      <c r="V77" s="240">
        <f>M77*U77</f>
        <v>18480</v>
      </c>
      <c r="W77" s="241">
        <f>(V77)/$R$68</f>
        <v>0.059729085931667078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2035</v>
      </c>
      <c r="BQ77" s="240">
        <f>BH77*BP77</f>
        <v>8140</v>
      </c>
      <c r="BR77" s="241">
        <f>(BQ77)/$R$68</f>
        <v>0.026309240231805739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12920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2035</v>
      </c>
      <c r="V78" s="240">
        <f>M78*U78</f>
        <v>8140</v>
      </c>
      <c r="W78" s="241">
        <f>(V78)/$R$68</f>
        <v>0.026309240231805739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2420</v>
      </c>
      <c r="BQ78" s="240">
        <f>BH78*BP78</f>
        <v>9680</v>
      </c>
      <c r="BR78" s="241">
        <f>(BQ78)/$R$68</f>
        <v>0.031286664059444663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4624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2420</v>
      </c>
      <c r="V79" s="240">
        <f>M79*U79</f>
        <v>9680</v>
      </c>
      <c r="W79" s="241">
        <f>(V79)/$R$68</f>
        <v>0.031286664059444663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4620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5780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4620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1768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27060</v>
      </c>
      <c r="BR81" s="244">
        <f>Table15880101112[[#Totals],[اجمالي]]/$R$68</f>
        <v>0.087460447257083934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36300</v>
      </c>
      <c r="W82" s="244">
        <f>Table15880101[[#Totals],[اجمالي]]/$R$68</f>
        <v>0.11732499022291748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95" t="s">
        <v>72</v>
      </c>
      <c r="BK82" s="895"/>
      <c r="BL82" s="895"/>
      <c r="BM82" s="895"/>
      <c r="BN82" s="895"/>
      <c r="BO82" s="89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95" t="s">
        <v>72</v>
      </c>
      <c r="P83" s="895"/>
      <c r="Q83" s="895"/>
      <c r="R83" s="895"/>
      <c r="S83" s="895"/>
      <c r="T83" s="89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0.0038785120734848755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0.0025856747156565835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6564.2225000000008</v>
      </c>
      <c r="AX85" s="300"/>
      <c r="AY85" s="300"/>
      <c r="AZ85" s="300"/>
      <c r="BA85" s="300">
        <f>SUBTOTAL(109,Table80102113[price])</f>
        <v>119349.5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0.00071106054680556048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0.00071106054680556048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0.00042017214129419484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0.00042017214129419484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0.0015514048293939502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0.015514048293939502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0.0065611495909785808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0.01923095569769584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95" t="s">
        <v>95</v>
      </c>
      <c r="BK90" s="895"/>
      <c r="BL90" s="895"/>
      <c r="BM90" s="895"/>
      <c r="BN90" s="895"/>
      <c r="BO90" s="89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95" t="s">
        <v>95</v>
      </c>
      <c r="P91" s="895"/>
      <c r="Q91" s="895"/>
      <c r="R91" s="895"/>
      <c r="S91" s="895"/>
      <c r="T91" s="89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660</v>
      </c>
      <c r="BQ92" s="240">
        <f>BH92*BP92</f>
        <v>2640</v>
      </c>
      <c r="BR92" s="249">
        <f>(BQ92)/$R$68</f>
        <v>0.0085327265616667262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660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385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385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41.25</v>
      </c>
      <c r="BQ94" s="240">
        <f>BH94*BP94</f>
        <v>660</v>
      </c>
      <c r="BR94" s="251">
        <f>(BQ94)/$R$68</f>
        <v>0.0021331816404166815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41.25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3300</v>
      </c>
      <c r="BR95" s="244">
        <f>Table16627394105[[#Totals],[اجمالي]]/$R$68</f>
        <v>0.010665908202083407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95" t="s">
        <v>99</v>
      </c>
      <c r="BK96" s="895"/>
      <c r="BL96" s="895"/>
      <c r="BM96" s="895"/>
      <c r="BN96" s="895"/>
      <c r="BO96" s="89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9832.68</v>
      </c>
      <c r="C97" s="194"/>
      <c r="D97" s="194"/>
      <c r="E97" s="194"/>
      <c r="F97" s="194">
        <f>SUBTOTAL(109,Table80102114115[price])</f>
        <v>178776</v>
      </c>
      <c r="L97" s="216"/>
      <c r="M97" s="216"/>
      <c r="N97" s="217"/>
      <c r="O97" s="895" t="s">
        <v>99</v>
      </c>
      <c r="P97" s="895"/>
      <c r="Q97" s="895"/>
      <c r="R97" s="895"/>
      <c r="S97" s="895"/>
      <c r="T97" s="89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3">BH98*BP98</f>
        <v>1142.6666666666667</v>
      </c>
      <c r="BR98" s="241">
        <f ref="BR98:BR112" t="shared" si="24" ca="1">(BQ98)/$R$68</f>
        <v>0.003693205385529487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5">M99*U99</f>
        <v>1449.3333333333333</v>
      </c>
      <c r="W99" s="241">
        <f ref="W99:W113" t="shared" si="26" ca="1">(V99)/$R$68</f>
        <v>0.0046843806931978439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0.00017453304330681938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0.00024240700459280472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0.00017453304330681938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0.00024240700459280472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8.0802334864268235E-05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0.00012928373578282917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0.00048481400918560944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0.00048481400918560944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0.00025856747156565834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0.00025856747156565834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1100</v>
      </c>
      <c r="BR104" s="251">
        <f t="shared" si="24" ca="1"/>
        <v>0.0035553027340278023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8">M105*U105</f>
        <v>1100</v>
      </c>
      <c r="W105" s="251">
        <f t="shared" si="26" ca="1"/>
        <v>0.0035553027340278023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0.0018422932349053157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0.0018422932349053157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0.014835308681079648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0.018132043943541794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7765.666666666667</v>
      </c>
      <c r="BR113" s="557">
        <f>Table13597192103[[#Totals],[اجمالي]]/$R$68</f>
        <v>0.025099359937771428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9149.3333333333321</v>
      </c>
      <c r="W114" s="513">
        <f>Table13597192[[#Totals],[اجمالي]]/$R$68</f>
        <v>0.029571499831392456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95" t="s">
        <v>162</v>
      </c>
      <c r="BK115" s="895"/>
      <c r="BL115" s="895"/>
      <c r="BM115" s="895"/>
      <c r="BN115" s="895"/>
      <c r="BO115" s="89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95" t="s">
        <v>162</v>
      </c>
      <c r="P116" s="895"/>
      <c r="Q116" s="895"/>
      <c r="R116" s="895"/>
      <c r="S116" s="895"/>
      <c r="T116" s="89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119349.5</v>
      </c>
      <c r="BQ117" s="252">
        <f>BH117*Table1613687798109[[#This Row],[سعر الشبك ]]</f>
        <v>119349.5</v>
      </c>
      <c r="BR117" s="241">
        <f>(BQ117)/$R$68</f>
        <v>0.38574873059531928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178776</v>
      </c>
      <c r="V118" s="252">
        <f>M118*Table1613687798[[#This Row],[سعر الشبك ]]</f>
        <v>178776</v>
      </c>
      <c r="W118" s="241">
        <f>(V118)/$R$68</f>
        <v>0.57782072870777679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119349.5</v>
      </c>
      <c r="BQ118" s="240">
        <f>BH118*Table1613687798109[[#This Row],[سعر الشبك ]]</f>
        <v>11934.95</v>
      </c>
      <c r="BR118" s="241">
        <f>(BQ118)/$R$68</f>
        <v>0.038574873059531931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178776</v>
      </c>
      <c r="V119" s="240">
        <f>M119*Table1613687798[[#This Row],[سعر الشبك ]]</f>
        <v>17877.600000000002</v>
      </c>
      <c r="W119" s="241">
        <f>(V119)/$R$68</f>
        <v>0.057782072870777683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131284.45</v>
      </c>
      <c r="BR119" s="244">
        <f>Table1613687798109[[#Totals],[اجمالي]]/$R$68</f>
        <v>0.42432360365485122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196653.6</v>
      </c>
      <c r="W120" s="244">
        <f>Table1613687798[[#Totals],[اجمالي]]/$R$68</f>
        <v>0.63560280157855442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95" t="s">
        <v>132</v>
      </c>
      <c r="BK120" s="895"/>
      <c r="BL120" s="895"/>
      <c r="BM120" s="895"/>
      <c r="BN120" s="895"/>
      <c r="BO120" s="89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95" t="s">
        <v>132</v>
      </c>
      <c r="P121" s="895"/>
      <c r="Q121" s="895"/>
      <c r="R121" s="895"/>
      <c r="S121" s="895"/>
      <c r="T121" s="89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0.0018099723009596086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0.0018099723009596086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0.0018099723009596086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0.0018099723009596086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0.0054299169028788254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0.0054299169028788254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0.012928373578282918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0.012928373578282918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0.00969628018371219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0.00969628018371219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0.012928373578282918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0.012928373578282918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0.022753937497777935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0.028442421872222418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0.011635536220454627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0.011635536220454627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0.038785120734848758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0.038785120734848758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0.0033936980642992661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0.0033936980642992661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0.12117118136245665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0.12685966573690113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900"/>
      <c r="BK136" s="900"/>
      <c r="BL136" s="900"/>
      <c r="BM136" s="900"/>
      <c r="BN136" s="900"/>
      <c r="BO136" s="90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900"/>
      <c r="P137" s="900"/>
      <c r="Q137" s="900"/>
      <c r="R137" s="900"/>
      <c r="S137" s="900"/>
      <c r="T137" s="90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208930.11666666667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287302.93333333335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271609.15166666667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373493.81333333335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2026-05-12T10:47:59Z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