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65F272C8-3C94-4FA3-80AD-FAFA019F18FC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<sst xmlns="http://schemas.openxmlformats.org/spreadsheetml/2006/main" count="598" uniqueCount="598">
  <si>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</si>
  <si>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</si>
  <si>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</si>
  <si>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</si>
  <si>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</si>
  <si>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</si>
  <si>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</si>
  <si>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</si>
  <si>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</si>
  <si>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</si>
  <si>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</si>
  <si>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</si>
  <si>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</si>
  <si>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</si>
  <si>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</si>
  <si>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</si>
  <si>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</si>
  <si>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</si>
  <si>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</si>
  <si>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</si>
  <si>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</si>
  <si>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</si>
  <si>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</si>
  <si>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</si>
  <si>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</si>
  <si>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</si>
  <si>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</si>
  <si>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</si>
  <si>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</si>
  <si>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</si>
  <si>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</si>
  <si>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</si>
  <si>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</si>
  <si>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</si>
  <si>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</si>
  <si>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</si>
  <si>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</si>
  <si>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</si>
  <si>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</si>
  <si>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</si>
  <si>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</si>
  <si>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</si>
  <si>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</si>
  <si>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</si>
  <si>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</si>
  <si>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</si>
  <si>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</si>
  <si>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</si>
  <si>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</si>
  <si>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</si>
  <si>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</si>
  <si>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</si>
  <si>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</si>
  <si>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</si>
  <si>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</si>
  <si>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</si>
  <si>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</si>
  <si>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</si>
  <si>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</si>
  <si>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</si>
  <si>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</si>
  <si>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</si>
  <si>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</si>
  <si>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</si>
  <si>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</si>
  <si>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</si>
  <si>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</si>
  <si>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</si>
  <si>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</si>
  <si>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</si>
  <si>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</si>
  <si>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</si>
  <si>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</si>
  <si>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</si>
  <si>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</si>
  <si>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</si>
  <si>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</si>
  <si>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</si>
  <si>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</si>
  <si>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</si>
  <si>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</si>
  <si>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</si>
  <si>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</si>
  <si>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</si>
  <si>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</si>
  <si>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</si>
  <si>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</si>
  <si>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</si>
  <si>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</si>
  <si>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</si>
  <si>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</si>
  <si>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</si>
  <si>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</si>
  <si>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</si>
  <si>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</si>
  <si>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</si>
  <si>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</si>
  <si>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</si>
  <si>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</si>
  <si>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</si>
  <si>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</si>
  <si>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</si>
  <si>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</si>
  <si>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</si>
  <si>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</si>
  <si>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</si>
  <si>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</si>
  <si>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</si>
  <si>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</si>
  <si>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</si>
  <si>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</si>
  <si>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</si>
  <si>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</si>
  <si>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</si>
  <si>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</si>
  <si>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</si>
  <si>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</si>
  <si>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</si>
  <si>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</si>
  <si>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</si>
  <si>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</si>
  <si>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</si>
  <si>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</si>
  <si>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</si>
  <si>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</si>
  <si>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</si>
  <si>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</si>
  <si>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</si>
  <si>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</si>
  <si>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</si>
  <si>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</si>
  <si>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</si>
  <si>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</si>
  <si>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</si>
  <si>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</si>
  <si>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</si>
  <si>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</si>
  <si>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</si>
  <si>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</si>
  <si>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</si>
  <si>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</si>
  <si>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</si>
  <si>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</si>
  <si>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</si>
  <si>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</si>
  <si>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</si>
  <si>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</si>
  <si>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</si>
  <si>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</si>
  <si>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</si>
  <si>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</si>
  <si>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</si>
  <si>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</si>
  <si>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</si>
  <si>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</si>
  <si>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</si>
  <si>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</si>
  <si>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</si>
  <si>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</si>
  <si>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</si>
  <si>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</si>
  <si>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</si>
  <si>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</si>
  <si>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</si>
  <si>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</si>
  <si>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</si>
  <si>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</si>
  <si>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</si>
  <si>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</si>
  <si>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</si>
  <si>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</si>
  <si>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</si>
  <si>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</si>
  <si>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</si>
  <si>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</si>
  <si>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</si>
  <si>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</si>
  <si>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</si>
  <si>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</si>
  <si>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</si>
  <si>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</si>
  <si>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</si>
  <si>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</si>
  <si>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</si>
  <si>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</si>
  <si>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</si>
  <si>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</si>
  <si>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</si>
  <si>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</si>
  <si>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</si>
  <si>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</si>
  <si>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</si>
  <si>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</si>
  <si>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</si>
  <si>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</si>
  <si>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</si>
  <si>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</si>
  <si>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</si>
  <si>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</si>
  <si>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</si>
  <si>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</si>
  <si>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</si>
  <si>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</si>
  <si>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</si>
  <si>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</si>
  <si>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</si>
  <si>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</si>
  <si>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</si>
  <si>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</si>
  <si>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</si>
  <si>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</si>
  <si>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</si>
  <si>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</si>
  <si>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</si>
  <si>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</si>
  <si>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</si>
  <si>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</si>
  <si>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</si>
  <si>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</si>
  <si>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</si>
  <si>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</si>
  <si>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</si>
  <si>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</si>
  <si>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</si>
  <si>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</si>
  <si>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</si>
  <si>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</si>
  <si>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</si>
  <si>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</si>
  <si>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</si>
  <si>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</si>
  <si>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</si>
  <si>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</si>
  <si>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</si>
  <si>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</si>
  <si>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</si>
  <si>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</si>
  <si>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</si>
  <si>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</si>
  <si>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</si>
  <si>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</si>
  <si>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</si>
  <si>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</si>
  <si>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</si>
  <si>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</si>
  <si>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</si>
  <si>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</si>
  <si>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</si>
  <si>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</si>
  <si>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</si>
  <si>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</si>
  <si>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</si>
  <si>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</si>
  <si>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</si>
  <si>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</si>
  <si>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</si>
  <si>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</si>
  <si>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</si>
  <si>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</si>
  <si>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</si>
  <si>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</si>
  <si>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</si>
  <si>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</si>
  <si>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</si>
  <si>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</si>
  <si>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</si>
  <si>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</si>
  <si>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</si>
  <si>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</si>
  <si>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</si>
  <si>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</si>
  <si>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</si>
  <si>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</si>
  <si>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</si>
  <si>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</si>
  <si>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</si>
  <si>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</si>
  <si>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</si>
  <si>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</si>
  <si>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</si>
  <si>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</si>
  <si>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</si>
  <si>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</si>
  <si>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</si>
  <si>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</si>
  <si>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</si>
  <si>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</si>
  <si>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</si>
  <si>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</si>
  <si>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</si>
  <si>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2 مم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</si>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</sst>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06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6" applyFont="1" fillId="0" borderId="0" xfId="0">
      <protection hidden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2"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81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1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78"/>
    <tableColumn id="11" xr3:uid="{00000000-0010-0000-0A00-00000B000000}" name="Column2" dataDxfId="1356"/>
    <tableColumn id="10" xr3:uid="{00000000-0010-0000-0A00-00000A000000}" name="Column1" dataDxfId="92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89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85" totalsRowDxfId="1387"/>
    <tableColumn id="2" xr3:uid="{00000000-0010-0000-6D00-000002000000}" name="عدد" totalsRowFunction="custom" totalsRowDxfId="1388">
      <totalsRowFormula>(Table80102113[[#Totals],[price]]*1.1)/(BA72*AY72/10000)</totalsRowFormula>
    </tableColumn>
    <tableColumn id="3" xr3:uid="{00000000-0010-0000-6D00-000003000000}" name="طول" dataDxfId="1385" totalsRowDxfId="1386"/>
    <tableColumn id="4" xr3:uid="{00000000-0010-0000-6D00-000004000000}" name="Column2" dataDxfId="1385" totalsRowDxfId="1386"/>
    <tableColumn id="5" xr3:uid="{00000000-0010-0000-6D00-000005000000}" name="wt/m" dataDxfId="1385" totalsRowDxfId="1386"/>
    <tableColumn id="6" xr3:uid="{00000000-0010-0000-6D00-000006000000}" name="price" totalsRowFunction="sum" dataDxfId="1385" totalsRowDxfId="138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27" dataDxfId="14" totalsRowDxfId="25">
  <autoFilter ref="A2:F23" xr:uid="{00000000-0009-0000-0100-000071000000}"/>
  <tableColumns count="6">
    <tableColumn id="1" xr3:uid="{00000000-0010-0000-6E00-000001000000}" name="Column1" totalsRowLabel="Total" dataDxfId="1389" totalsRowDxfId="1387"/>
    <tableColumn id="2" xr3:uid="{00000000-0010-0000-6E00-000002000000}" name="عدد" totalsRowFunction="custom" dataDxfId="1389" totalsRowDxfId="1388">
      <totalsRowFormula>(Table80102114[[#Totals],[price]]*1.1)/(F1*D1/10000)</totalsRowFormula>
    </tableColumn>
    <tableColumn id="3" xr3:uid="{00000000-0010-0000-6E00-000003000000}" name="طول" dataDxfId="1389" totalsRowDxfId="1386"/>
    <tableColumn id="4" xr3:uid="{00000000-0010-0000-6E00-000004000000}" name="Column2" dataDxfId="1389" totalsRowDxfId="1386"/>
    <tableColumn id="5" xr3:uid="{00000000-0010-0000-6E00-000005000000}" name="wt/m" dataDxfId="1389" totalsRowDxfId="1386"/>
    <tableColumn id="6" xr3:uid="{00000000-0010-0000-6E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0" dataDxfId="1389" totalsRowDxfId="1391">
  <autoFilter ref="A75:F96" xr:uid="{00000000-0009-0000-0100-000072000000}"/>
  <tableColumns count="6">
    <tableColumn id="1" xr3:uid="{00000000-0010-0000-6F00-000001000000}" name="Column1" totalsRowLabel="Total" dataDxfId="1389" totalsRowDxfId="1387"/>
    <tableColumn id="2" xr3:uid="{00000000-0010-0000-6F00-000002000000}" name="عدد" totalsRowFunction="custom" dataDxfId="1389" totalsRowDxfId="1388">
      <totalsRowFormula>(Table80102114115[[#Totals],[price]]*1.1)/(F74*D74/10000)</totalsRowFormula>
    </tableColumn>
    <tableColumn id="3" xr3:uid="{00000000-0010-0000-6F00-000003000000}" name="طول" dataDxfId="1389" totalsRowDxfId="1386"/>
    <tableColumn id="4" xr3:uid="{00000000-0010-0000-6F00-000004000000}" name="Column2" dataDxfId="1389" totalsRowDxfId="1386"/>
    <tableColumn id="5" xr3:uid="{00000000-0010-0000-6F00-000005000000}" name="wt/m" dataDxfId="1389" totalsRowDxfId="1386"/>
    <tableColumn id="6" xr3:uid="{00000000-0010-0000-6F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105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76" totalsRowDxfId="1346">
      <calculatedColumnFormula>B60</calculatedColumnFormula>
    </tableColumn>
    <tableColumn id="3" xr3:uid="{00000000-0010-0000-0C00-000003000000}" name="بيان" totalsRowLabel="Total" dataDxfId="106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101" totalsRowDxfId="1346"/>
    <tableColumn id="7" xr3:uid="{00000000-0010-0000-0C00-000007000000}" name="اجمالي التكلفة للعامل" dataDxfId="100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77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93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58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63" totalsRowDxfId="59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65" totalsRowDxfId="64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60" totalsRowDxfId="1346"/>
    <tableColumn id="7" xr3:uid="{00000000-0010-0000-0400-000007000000}" name="سعر الشبك " dataDxfId="120" totalsRowDxfId="57">
      <calculatedColumnFormula>H6*$H$2/1000</calculatedColumnFormula>
    </tableColumn>
    <tableColumn id="8" xr3:uid="{00000000-0010-0000-0400-000008000000}" name="اجمالي" totalsRowFunction="sum" dataDxfId="56" totalsRowDxfId="55">
      <calculatedColumnFormula>B6*J6</calculatedColumnFormula>
    </tableColumn>
    <tableColumn id="9" xr3:uid="{00000000-0010-0000-0400-000009000000}" name="%" totalsRowFunction="custom" totalsRowDxfId="5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12" totalsRowDxfId="1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1346">
      <calculatedColumnFormula>I28</calculatedColumnFormula>
    </tableColumn>
    <tableColumn id="3" xr3:uid="{00000000-0010-0000-3F00-000003000000}" name="بيان" totalsRowLabel="Total" dataDxfId="620" totalsRowDxfId="1346"/>
    <tableColumn id="5" xr3:uid="{00000000-0010-0000-3F00-000005000000}" name="اليومية / الاجرة" dataDxfId="1358" totalsRowDxfId="1346"/>
    <tableColumn id="6" xr3:uid="{00000000-0010-0000-3F00-000006000000}" name="بدل الوجبة" dataDxfId="1359" totalsRowDxfId="1346"/>
    <tableColumn id="11" xr3:uid="{00000000-0010-0000-3F00-00000B000000}" name="موقع العمل" dataDxfId="1356" totalsRowDxfId="1346">
      <calculatedColumnFormula>تسعير!$T$45</calculatedColumnFormula>
    </tableColumn>
    <tableColumn id="10" xr3:uid="{00000000-0010-0000-3F00-00000A000000}" name="شيفت العمل" dataDxfId="1345" totalsRowDxfId="1346"/>
    <tableColumn id="12" xr3:uid="{00000000-0010-0000-3F00-00000C000000}" name="Column12" totalsRowFunction="sum" dataDxfId="1353" totalsRowDxfId="135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46"/>
    <tableColumn id="7" xr3:uid="{00000000-0010-0000-3F00-000007000000}" name="اجمالي التكلفة للعامل" dataDxfId="1368" totalsRowDxfId="1349">
      <calculatedColumnFormula>Table161243[[#This Row],[Column12]]</calculatedColumnFormula>
    </tableColumn>
    <tableColumn id="8" xr3:uid="{00000000-0010-0000-3F00-000008000000}" name="اجمالي" totalsRowFunction="sum" dataDxfId="1350" totalsRowDxfId="1351">
      <calculatedColumnFormula>I31*Q31</calculatedColumnFormula>
    </tableColumn>
    <tableColumn id="9" xr3:uid="{00000000-0010-0000-3F00-000009000000}" name="%" totalsRowFunction="custom" totalsRowDxfId="1352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2" totalsRowDxfId="138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46">
      <calculatedColumnFormula>I61</calculatedColumnFormula>
    </tableColumn>
    <tableColumn id="3" xr3:uid="{00000000-0010-0000-4200-000003000000}" name="بيان" totalsRowLabel="Total" dataDxfId="1384" totalsRowDxfId="1346"/>
    <tableColumn id="5" xr3:uid="{00000000-0010-0000-4200-000005000000}" name="اليومية / الاجرة" dataDxfId="1358" totalsRowDxfId="1346"/>
    <tableColumn id="6" xr3:uid="{00000000-0010-0000-4200-000006000000}" name="بدل الوجبة" dataDxfId="1359" totalsRowDxfId="1346"/>
    <tableColumn id="11" xr3:uid="{00000000-0010-0000-4200-00000B000000}" name="موقع العمل" dataDxfId="1356" totalsRowDxfId="1346">
      <calculatedColumnFormula>تسعير!$T$63</calculatedColumnFormula>
    </tableColumn>
    <tableColumn id="10" xr3:uid="{00000000-0010-0000-4200-00000A000000}" name="شيفت العمل" dataDxfId="1345" totalsRowDxfId="1346"/>
    <tableColumn id="12" xr3:uid="{00000000-0010-0000-4200-00000C000000}" name="Column12" totalsRowFunction="sum" dataDxfId="1353" totalsRowDxfId="135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46"/>
    <tableColumn id="7" xr3:uid="{00000000-0010-0000-4200-000007000000}" name="اجمالي التكلفة للعامل" dataDxfId="1368" totalsRowDxfId="1349">
      <calculatedColumnFormula>Table16124360[[#This Row],[Column12]]</calculatedColumnFormula>
    </tableColumn>
    <tableColumn id="8" xr3:uid="{00000000-0010-0000-4200-000008000000}" name="اجمالي" totalsRowFunction="sum" dataDxfId="1350" totalsRowDxfId="1351">
      <calculatedColumnFormula>I64*Q64</calculatedColumnFormula>
    </tableColumn>
    <tableColumn id="9" xr3:uid="{00000000-0010-0000-4200-000009000000}" name="%" totalsRowFunction="custom" totalsRowDxfId="1352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44" totalsRowDxfId="23"/>
    <tableColumn id="2" xr3:uid="{00000000-0010-0000-6200-000002000000}" name="عدد" totalsRowFunction="custom" totalsRowDxfId="21">
      <totalsRowFormula>(Table8091[[#Totals],[price]]*1.1)/(BA1*AY1/10000)</totalsRowFormula>
    </tableColumn>
    <tableColumn id="3" xr3:uid="{00000000-0010-0000-6200-000003000000}" name="طول" dataDxfId="1385" totalsRowDxfId="13"/>
    <tableColumn id="4" xr3:uid="{00000000-0010-0000-6200-000004000000}" name="Column2" dataDxfId="1385" totalsRowDxfId="1386"/>
    <tableColumn id="5" xr3:uid="{00000000-0010-0000-6200-000005000000}" name="wt/m" dataDxfId="1385" totalsRowDxfId="1386"/>
    <tableColumn id="6" xr3:uid="{00000000-0010-0000-6200-000006000000}" name="price" totalsRowFunction="sum" dataDxfId="1385" totalsRowDxfId="138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zoomScaleNormal="100" zoomScaleSheetLayoutView="70" workbookViewId="0">
      <selection activeCell="B14" sqref="B1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528</v>
      </c>
      <c r="B1" s="371" t="s">
        <v>529</v>
      </c>
      <c r="C1" s="371" t="s">
        <v>530</v>
      </c>
      <c r="D1" s="371" t="s">
        <v>96</v>
      </c>
      <c r="E1" s="502"/>
      <c r="F1" s="503"/>
      <c r="G1" s="581" t="s">
        <v>531</v>
      </c>
      <c r="H1" s="581"/>
      <c r="I1" s="581"/>
      <c r="J1" s="516"/>
    </row>
    <row r="2" ht="21">
      <c r="A2" s="504" t="s">
        <v>532</v>
      </c>
      <c r="B2" s="579" t="s">
        <v>533</v>
      </c>
      <c r="C2" s="505" t="s">
        <v>231</v>
      </c>
      <c r="D2" s="506" t="s">
        <v>534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535</v>
      </c>
      <c r="C3" s="509" t="s">
        <v>227</v>
      </c>
      <c r="D3" s="510" t="s">
        <v>536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17892.5</v>
      </c>
      <c r="J3" s="517"/>
    </row>
    <row r="4" ht="21">
      <c r="A4" s="511"/>
      <c r="B4" s="512"/>
      <c r="C4" s="512"/>
      <c r="D4" s="513"/>
      <c r="E4" s="502"/>
      <c r="F4" s="507"/>
      <c r="G4" s="582" t="s">
        <v>537</v>
      </c>
      <c r="H4" s="582"/>
      <c r="I4" s="582"/>
      <c r="J4" s="517"/>
    </row>
    <row r="5" ht="21">
      <c r="A5" s="504" t="s">
        <v>532</v>
      </c>
      <c r="B5" s="579" t="s">
        <v>533</v>
      </c>
      <c r="C5" s="505" t="s">
        <v>231</v>
      </c>
      <c r="D5" s="506" t="s">
        <v>534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538</v>
      </c>
      <c r="B6" s="580" t="s">
        <v>535</v>
      </c>
      <c r="C6" s="509" t="s">
        <v>227</v>
      </c>
      <c r="D6" s="510" t="s">
        <v>536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91690.833333333328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83" t="s">
        <v>539</v>
      </c>
      <c r="B10" s="583"/>
    </row>
    <row r="11">
      <c r="A11" s="233" t="s">
        <v>540</v>
      </c>
      <c r="B11" s="233" t="s">
        <v>386</v>
      </c>
    </row>
    <row r="12">
      <c r="A12" s="233" t="s">
        <v>541</v>
      </c>
      <c r="B12" s="233">
        <v>40000</v>
      </c>
    </row>
    <row r="13">
      <c r="A13" s="233" t="s">
        <v>542</v>
      </c>
      <c r="B13" s="233">
        <v>45000</v>
      </c>
    </row>
    <row r="14">
      <c r="A14" s="233" t="s">
        <v>235</v>
      </c>
      <c r="B14" s="233">
        <v>210000</v>
      </c>
    </row>
    <row r="15">
      <c r="A15" s="233" t="s">
        <v>543</v>
      </c>
      <c r="B15" s="233">
        <v>60000</v>
      </c>
    </row>
    <row r="16">
      <c r="A16" s="233" t="s">
        <v>544</v>
      </c>
      <c r="B16" s="233">
        <v>300</v>
      </c>
    </row>
    <row r="17">
      <c r="A17" s="233" t="s">
        <v>545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546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1000</v>
      </c>
    </row>
    <row r="36">
      <c r="A36" s="233" t="s">
        <v>420</v>
      </c>
      <c r="B36" s="233">
        <v>1000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547</v>
      </c>
      <c r="B40" s="233">
        <v>90</v>
      </c>
    </row>
    <row r="41">
      <c r="A41" s="233" t="s">
        <v>548</v>
      </c>
      <c r="B41" s="233">
        <v>25</v>
      </c>
    </row>
    <row r="42" ht="18.75">
      <c r="A42" s="560" t="s">
        <v>549</v>
      </c>
      <c r="B42" s="233">
        <v>450</v>
      </c>
    </row>
    <row r="43" ht="18.75">
      <c r="A43" s="560" t="s">
        <v>550</v>
      </c>
      <c r="B43" s="233">
        <v>130</v>
      </c>
    </row>
    <row r="44" ht="18.75">
      <c r="A44" s="560" t="s">
        <v>551</v>
      </c>
      <c r="B44" s="233">
        <v>250</v>
      </c>
    </row>
    <row r="45">
      <c r="A45" s="233" t="s">
        <v>552</v>
      </c>
      <c r="B45" s="233">
        <v>4000</v>
      </c>
    </row>
    <row r="46">
      <c r="A46" s="233" t="s">
        <v>553</v>
      </c>
      <c r="B46" s="233">
        <v>3000</v>
      </c>
    </row>
    <row r="47">
      <c r="A47" s="233" t="s">
        <v>554</v>
      </c>
      <c r="B47" s="233">
        <v>125</v>
      </c>
    </row>
    <row r="48">
      <c r="A48" s="233" t="s">
        <v>555</v>
      </c>
      <c r="B48" s="233">
        <v>25</v>
      </c>
    </row>
    <row r="49">
      <c r="A49" s="233" t="s">
        <v>556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557</v>
      </c>
      <c r="B51" s="233">
        <v>120</v>
      </c>
    </row>
    <row r="52">
      <c r="A52" s="233" t="s">
        <v>558</v>
      </c>
      <c r="B52" s="233">
        <v>150</v>
      </c>
    </row>
    <row r="53">
      <c r="A53" s="233" t="s">
        <v>559</v>
      </c>
      <c r="B53" s="233">
        <v>70</v>
      </c>
    </row>
    <row r="54">
      <c r="A54" s="233" t="s">
        <v>560</v>
      </c>
      <c r="B54" s="233">
        <v>1200</v>
      </c>
    </row>
    <row r="55">
      <c r="A55" s="559" t="s">
        <v>561</v>
      </c>
      <c r="B55" s="233">
        <v>15000</v>
      </c>
    </row>
    <row r="56">
      <c r="A56" s="559" t="s">
        <v>562</v>
      </c>
      <c r="B56" s="233">
        <v>5000</v>
      </c>
    </row>
    <row r="57">
      <c r="A57" s="559" t="s">
        <v>563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366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تسجيل1!C7</f>
        <v>300</v>
      </c>
      <c r="L6" s="689"/>
      <c r="M6" s="94" t="s">
        <v>373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21</v>
      </c>
      <c r="L7" s="696"/>
      <c r="M7" s="696"/>
      <c r="N7" s="98" t="s">
        <v>375</v>
      </c>
      <c r="O7" s="99">
        <f>AA41/K7</f>
        <v>2745.8335614033749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299</v>
      </c>
      <c r="L8" s="700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57662.50478947087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2</v>
      </c>
      <c r="H11" s="707"/>
      <c r="I11" s="708">
        <f>'Format διαστασης οδηγου'!F8</f>
        <v>665</v>
      </c>
      <c r="J11" s="708"/>
      <c r="K11" s="106"/>
      <c r="L11" s="703">
        <f>IF(Format!A7=1,تسجيل1!H27,IF(Format!A7=2,تسجيل1!H27,IF(Format!A7=3,تسجيل1!H27,IF(Format!A7=4,تسجيل1!H27,IF(Format!A7=5,تسجيل1!H27,"-------")))))</f>
        <v>2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291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1</v>
      </c>
      <c r="H20" s="719"/>
      <c r="I20" s="711">
        <f>L17-7</f>
        <v>284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2</v>
      </c>
      <c r="H21" s="723"/>
      <c r="I21" s="724">
        <f>(I11*2)+45</f>
        <v>1375</v>
      </c>
      <c r="J21" s="724"/>
      <c r="K21" s="106"/>
      <c r="L21" s="112">
        <f>IF(Format!E7=1,"-------",IF(Format!E7=5,"-------",تسجيل1!H30))</f>
        <v>2</v>
      </c>
      <c r="M21" s="713" t="str">
        <f>IF(L21="-------","-------",تسجيل1!D11)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2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2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1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10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4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20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24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24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6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6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 t="str">
        <f>IF(L11&gt;2,(L11-2)*2,"0")</f>
        <v>0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str">
        <f>IF(L11&gt;2,(L11-2)*L14,"0")</f>
        <v>0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1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20476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57662.504789470877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7">
        <f>N8</f>
        <v>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2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تسعير!AA33</f>
        <v>500</v>
      </c>
      <c r="D7" s="182" t="s">
        <v>162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 t="e">
        <f>'Format Φωτισμου (2)'!B9</f>
        <v>#VALUE!</v>
      </c>
    </row>
    <row r="19" ht="18" customHeight="1">
      <c r="A19" s="666" t="s">
        <v>355</v>
      </c>
      <c r="B19" s="667"/>
      <c r="C19" s="14" t="e">
        <f>'Format Φωτισμου (2)'!B12</f>
        <v>#VALUE!</v>
      </c>
    </row>
    <row r="20" ht="18" customHeight="1">
      <c r="A20" s="666" t="s">
        <v>356</v>
      </c>
      <c r="B20" s="667"/>
      <c r="C20" s="14" t="e">
        <f>C19/C18</f>
        <v>#VALUE!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 t="e">
        <f>C21/C18</f>
        <v>#VALUE!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345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438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تسجيل2!C7</f>
        <v>500</v>
      </c>
      <c r="L6" s="689"/>
      <c r="M6" s="94" t="s">
        <v>373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85</v>
      </c>
      <c r="L7" s="696"/>
      <c r="M7" s="696"/>
      <c r="N7" s="98" t="s">
        <v>375</v>
      </c>
      <c r="O7" s="99" t="e">
        <f>AA41/K7</f>
        <v>#VALUE!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499</v>
      </c>
      <c r="L8" s="700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100.11936</v>
      </c>
      <c r="U8" s="138">
        <f>T8*S8</f>
        <v>30035.808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3</v>
      </c>
      <c r="H11" s="707"/>
      <c r="I11" s="708">
        <f>'Format διαστασης οδηγου (2)'!F8</f>
        <v>1665</v>
      </c>
      <c r="J11" s="708"/>
      <c r="K11" s="106"/>
      <c r="L11" s="703">
        <f>IF(Format!A7=1,تسجيل2!H27,IF(Format!A7=2,تسجيل2!H27,IF(Format!A7=3,تسجيل2!H27,IF(Format!A7=4,تسجيل2!H27,IF(Format!A7=5,تسجيل2!H27,"-------")))))</f>
        <v>3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6.24375</v>
      </c>
      <c r="U11" s="103">
        <f>CEILING(T11,0.5)</f>
        <v>6.5</v>
      </c>
      <c r="V11" s="103">
        <f>U11*S11</f>
        <v>52</v>
      </c>
      <c r="W11" s="140">
        <v>4.45627705627706</v>
      </c>
      <c r="X11" s="141">
        <f>($W$1/1000)*W11*V11</f>
        <v>53297.073593073648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5144.053156146173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240.5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 t="e">
        <f>IF(L11&gt;2,2*L14,IF(L11=2,L14))</f>
        <v>#VALUE!</v>
      </c>
      <c r="H14" s="710"/>
      <c r="I14" s="711">
        <f>I12</f>
        <v>247</v>
      </c>
      <c r="J14" s="711"/>
      <c r="K14" s="106"/>
      <c r="L14" s="109" t="e">
        <f>تسجيل2!H28</f>
        <v>#VALUE!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240.5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249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245.5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962.46153846154186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245.5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497.5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2</v>
      </c>
      <c r="H20" s="719"/>
      <c r="I20" s="711">
        <f>L17-7</f>
        <v>238.5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2277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3</v>
      </c>
      <c r="H21" s="723"/>
      <c r="I21" s="724">
        <f>(I11*2)+45</f>
        <v>3375</v>
      </c>
      <c r="J21" s="724"/>
      <c r="K21" s="106"/>
      <c r="L21" s="112">
        <f>IF(Format!E7=1,"-------",IF(Format!E7=5,"-------",تسجيل2!H30))</f>
        <v>3</v>
      </c>
      <c r="M21" s="713" t="str">
        <f>IF(L21="-------","-------",تسجيل2!D11)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101.25</v>
      </c>
      <c r="U21" s="142">
        <f t="shared" si="0"/>
        <v>101.25</v>
      </c>
      <c r="V21" s="142">
        <f>U21*S21</f>
        <v>101.25</v>
      </c>
      <c r="W21" s="142">
        <f>Sheet2!B17</f>
        <v>175</v>
      </c>
      <c r="X21" s="144">
        <f>W21*V21</f>
        <v>17718.75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3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3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2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 t="e">
        <f>L14</f>
        <v>#VALUE!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6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 t="e">
        <f>L14*L11</f>
        <v>#VALUE!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 t="e">
        <f>(L14+N14)*2</f>
        <v>#VALUE!</v>
      </c>
      <c r="G31" s="71"/>
      <c r="H31" s="72">
        <v>23</v>
      </c>
      <c r="I31" s="729" t="s">
        <v>422</v>
      </c>
      <c r="J31" s="729"/>
      <c r="K31" s="729"/>
      <c r="L31" s="729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 t="e">
        <f>(L14+N14)*2</f>
        <v>#VALUE!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9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9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>
        <f>IF(L11&gt;2,(L11-2)*2,"0")</f>
        <v>2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e">
        <f>IF(L11&gt;2,(L11-2)*L14,"0")</f>
        <v>#VALUE!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2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 t="e">
        <f>SUM(AA24:AB38)</f>
        <v>#VALUE!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 t="e">
        <f>AA39+X22+U8</f>
        <v>#VALUE!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47">
        <f>N8</f>
        <v>1672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تسجيل2!C7</f>
        <v>500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1700</v>
      </c>
      <c r="D31" s="34" t="s">
        <v>484</v>
      </c>
      <c r="E31" s="36" t="str">
        <f>H34</f>
        <v>N/A</v>
      </c>
      <c r="F31" s="34"/>
      <c r="G31" s="34"/>
      <c r="H31" s="35"/>
      <c r="I31" s="779" t="s">
        <v>483</v>
      </c>
      <c r="J31" s="780"/>
      <c r="K31" s="36">
        <f>B19</f>
        <v>1700</v>
      </c>
      <c r="L31" s="34" t="s">
        <v>484</v>
      </c>
      <c r="M31" s="36" t="str">
        <f>P34</f>
        <v>N/A</v>
      </c>
      <c r="N31" s="15"/>
      <c r="O31" s="34"/>
      <c r="P31" s="35"/>
      <c r="Q31" s="781" t="s">
        <v>483</v>
      </c>
      <c r="R31" s="782"/>
      <c r="S31" s="57">
        <f>B19</f>
        <v>1700</v>
      </c>
      <c r="T31" s="47" t="s">
        <v>485</v>
      </c>
      <c r="U31" s="57">
        <f>INT((S31-4)/25)+1</f>
        <v>68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7"/>
      <c r="B3" s="788"/>
      <c r="C3" s="10" t="s">
        <v>502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507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9"/>
      <c r="B7" s="790"/>
      <c r="C7" s="19" t="s">
        <v>508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93"/>
      <c r="B12" s="794"/>
      <c r="C12" s="10" t="s">
        <v>502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93"/>
      <c r="B15" s="794"/>
      <c r="C15" s="10" t="s">
        <v>506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9"/>
      <c r="B21" s="800"/>
      <c r="C21" s="10" t="s">
        <v>502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9"/>
      <c r="B24" s="800"/>
      <c r="C24" s="10" t="s">
        <v>506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801"/>
      <c r="B25" s="802"/>
      <c r="C25" s="19" t="s">
        <v>508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تسجيل2!C7</f>
        <v>500</v>
      </c>
      <c r="J4" s="15">
        <v>4</v>
      </c>
      <c r="K4" s="15">
        <v>2</v>
      </c>
    </row>
    <row r="5">
      <c r="A5" s="1" t="s">
        <v>504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390</v>
      </c>
      <c r="B6" s="1" t="e">
        <f>'Cutting Ro-2'!L14</f>
        <v>#VALUE!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515</v>
      </c>
      <c r="B9" s="1" t="e">
        <f>O8</f>
        <v>#VALUE!</v>
      </c>
      <c r="J9" s="15">
        <v>9</v>
      </c>
      <c r="K9" s="15">
        <v>4</v>
      </c>
    </row>
    <row r="10">
      <c r="A10" s="12" t="s">
        <v>516</v>
      </c>
      <c r="B10" s="13" t="e">
        <f>(((B4-(تسجيل2!C22*2))/200)+1)*B9</f>
        <v>#VALUE!</v>
      </c>
      <c r="C10" s="665" t="s">
        <v>517</v>
      </c>
      <c r="D10" s="665"/>
      <c r="E10" s="14" t="e">
        <f>ROUND(B10,0)</f>
        <v>#VALUE!</v>
      </c>
      <c r="J10" s="15">
        <v>10</v>
      </c>
      <c r="K10" s="15">
        <v>4</v>
      </c>
    </row>
    <row r="11">
      <c r="A11" s="12" t="s">
        <v>518</v>
      </c>
      <c r="B11" s="13" t="e">
        <f>E10/B9</f>
        <v>#VALUE!</v>
      </c>
      <c r="C11" s="665" t="s">
        <v>517</v>
      </c>
      <c r="D11" s="665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519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522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803"/>
      <c r="I8" s="803"/>
      <c r="J8" s="803"/>
      <c r="K8" s="804"/>
    </row>
    <row r="9">
      <c r="A9" s="4" t="s">
        <v>525</v>
      </c>
      <c r="C9" s="1" t="str">
        <f>IF('Format (2)'!N8=5,'Format διαστασης οδηγου (2)'!B2-35,IF('Format (2)'!N8=6,'Format διαστασης οδηγου (2)'!B2-31,"-------"))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522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803"/>
      <c r="I16" s="803"/>
      <c r="J16" s="803"/>
      <c r="K16" s="804"/>
    </row>
    <row r="17">
      <c r="A17" s="4" t="s">
        <v>525</v>
      </c>
      <c r="C17" s="1" t="str">
        <f>IF('Format (2)'!N8=5,'Format διαστασης οδηγου (2)'!B2-6,IF('Format (2)'!N8=6,'Format διαστασης οδηγου (2)'!B2-2,"-------"))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تسجيل1!C7</f>
        <v>300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700</v>
      </c>
      <c r="D31" s="34" t="s">
        <v>484</v>
      </c>
      <c r="E31" s="36">
        <f>H34</f>
        <v>10</v>
      </c>
      <c r="F31" s="34"/>
      <c r="G31" s="34"/>
      <c r="H31" s="35"/>
      <c r="I31" s="779" t="s">
        <v>483</v>
      </c>
      <c r="J31" s="780"/>
      <c r="K31" s="36">
        <f>B19</f>
        <v>700</v>
      </c>
      <c r="L31" s="34" t="s">
        <v>484</v>
      </c>
      <c r="M31" s="36">
        <f>P34</f>
        <v>9</v>
      </c>
      <c r="N31" s="15"/>
      <c r="O31" s="34"/>
      <c r="P31" s="35"/>
      <c r="Q31" s="781" t="s">
        <v>483</v>
      </c>
      <c r="R31" s="782"/>
      <c r="S31" s="57">
        <f>B19</f>
        <v>700</v>
      </c>
      <c r="T31" s="47" t="s">
        <v>485</v>
      </c>
      <c r="U31" s="57">
        <f>INT((S31-4)/25)+1</f>
        <v>28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7"/>
      <c r="B3" s="788"/>
      <c r="C3" s="10" t="s">
        <v>502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9"/>
      <c r="B7" s="790"/>
      <c r="C7" s="19" t="s">
        <v>508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3"/>
      <c r="B12" s="794"/>
      <c r="C12" s="10" t="s">
        <v>502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3"/>
      <c r="B15" s="794"/>
      <c r="C15" s="10" t="s">
        <v>506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9"/>
      <c r="B21" s="800"/>
      <c r="C21" s="10" t="s">
        <v>502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9"/>
      <c r="B24" s="800"/>
      <c r="C24" s="10" t="s">
        <v>506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1"/>
      <c r="B25" s="802"/>
      <c r="C25" s="19" t="s">
        <v>508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تسجيل1!C7</f>
        <v>300</v>
      </c>
      <c r="J4" s="15">
        <v>4</v>
      </c>
      <c r="K4" s="15">
        <v>2</v>
      </c>
    </row>
    <row r="5">
      <c r="A5" s="1" t="s">
        <v>504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390</v>
      </c>
      <c r="B6" s="1">
        <f>'Cutting Ro-1'!L14</f>
        <v>10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515</v>
      </c>
      <c r="B9" s="1">
        <f>O8</f>
        <v>4</v>
      </c>
      <c r="J9" s="15">
        <v>9</v>
      </c>
      <c r="K9" s="15">
        <v>4</v>
      </c>
    </row>
    <row r="10">
      <c r="A10" s="12" t="s">
        <v>516</v>
      </c>
      <c r="B10" s="13">
        <f>(((B4-(تسجيل1!C22*2))/200)+1)*B9</f>
        <v>8</v>
      </c>
      <c r="C10" s="665" t="s">
        <v>517</v>
      </c>
      <c r="D10" s="665"/>
      <c r="E10" s="14">
        <f>ROUND(B10,0)</f>
        <v>8</v>
      </c>
      <c r="J10" s="15">
        <v>10</v>
      </c>
      <c r="K10" s="15">
        <v>4</v>
      </c>
    </row>
    <row r="11">
      <c r="A11" s="12" t="s">
        <v>518</v>
      </c>
      <c r="B11" s="13">
        <f>E10/B9</f>
        <v>2</v>
      </c>
      <c r="C11" s="665" t="s">
        <v>517</v>
      </c>
      <c r="D11" s="665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zoomScale="10" zoomScaleNormal="10" zoomScaleSheetLayoutView="70" zoomScalePageLayoutView="25" workbookViewId="0">
      <selection activeCell="R1" sqref="R1:R11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17"/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05"/>
      <c r="S1" s="418" t="s">
        <v>564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565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566</v>
      </c>
      <c r="BE1" s="418"/>
      <c r="BF1" s="586"/>
      <c r="BG1" s="586"/>
      <c r="BH1" s="586"/>
      <c r="BI1" s="586"/>
      <c r="BJ1" s="586"/>
      <c r="BK1" s="586"/>
      <c r="BL1" s="586"/>
      <c r="BM1" s="586"/>
      <c r="BN1" s="586"/>
    </row>
    <row r="2" ht="4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05"/>
      <c r="S2" s="420" t="s">
        <v>567</v>
      </c>
      <c r="T2" s="421">
        <f>IF((V14="ok"),Royal!G80,"R")</f>
        <v>153186.97708703857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06" t="s">
        <v>567</v>
      </c>
      <c r="AG2" s="58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16768.125</v>
      </c>
      <c r="AH2" s="585"/>
      <c r="AI2" s="424"/>
      <c r="AJ2" s="424"/>
      <c r="AK2" s="424"/>
      <c r="AR2" s="416"/>
      <c r="AS2" s="474" t="s">
        <v>567</v>
      </c>
      <c r="AT2" s="475">
        <f>IF((AV14="OK"),wavy1!R72,"R")</f>
        <v>68878.820833333346</v>
      </c>
      <c r="AU2" s="422"/>
      <c r="AV2" s="417"/>
      <c r="AW2" s="417"/>
      <c r="AX2" s="417"/>
      <c r="AY2" s="417"/>
      <c r="AZ2" s="417"/>
      <c r="BA2" s="417"/>
      <c r="BB2" s="417"/>
      <c r="BD2" s="489" t="s">
        <v>567</v>
      </c>
      <c r="BE2" s="489">
        <f>IF((BG14="OK"),wavy2!R72,"R")</f>
        <v>93896.23966666669</v>
      </c>
      <c r="BF2" s="586"/>
      <c r="BG2" s="586"/>
      <c r="BH2" s="586"/>
      <c r="BI2" s="586"/>
      <c r="BJ2" s="586"/>
      <c r="BK2" s="586"/>
      <c r="BL2" s="586"/>
      <c r="BM2" s="586"/>
      <c r="BN2" s="586"/>
    </row>
    <row r="3" ht="54.7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05"/>
      <c r="S3" s="530" t="s">
        <v>127</v>
      </c>
      <c r="T3" s="423">
        <f>T2/(AA10*X8)*10000</f>
        <v>7294.6179565256462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06"/>
      <c r="AG3" s="585"/>
      <c r="AH3" s="585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5510.3056666666671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2682.7497047619054</v>
      </c>
      <c r="BF3" s="586"/>
      <c r="BG3" s="586"/>
      <c r="BH3" s="586"/>
      <c r="BI3" s="586"/>
      <c r="BJ3" s="586"/>
      <c r="BK3" s="586"/>
      <c r="BL3" s="586"/>
      <c r="BM3" s="586"/>
      <c r="BN3" s="586"/>
    </row>
    <row r="4" ht="55.5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05"/>
      <c r="S4" s="532" t="s">
        <v>568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06"/>
      <c r="AG4" s="585"/>
      <c r="AH4" s="585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568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568</v>
      </c>
      <c r="BE4" s="497" t="s">
        <v>38</v>
      </c>
      <c r="BF4" s="587"/>
      <c r="BG4" s="588"/>
      <c r="BH4" s="588"/>
      <c r="BI4" s="588"/>
      <c r="BJ4" s="588"/>
      <c r="BK4" s="588"/>
      <c r="BL4" s="588"/>
      <c r="BM4" s="588"/>
      <c r="BN4" s="584"/>
    </row>
    <row r="5" ht="55.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05"/>
      <c r="S5" s="532" t="s">
        <v>529</v>
      </c>
      <c r="T5" s="534" t="s">
        <v>533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529</v>
      </c>
      <c r="AT5" s="543" t="s">
        <v>533</v>
      </c>
      <c r="AU5" s="427"/>
      <c r="AV5" s="427"/>
      <c r="AW5" s="427"/>
      <c r="AX5" s="427"/>
      <c r="AY5" s="427"/>
      <c r="AZ5" s="427"/>
      <c r="BA5" s="427"/>
      <c r="BB5" s="415"/>
      <c r="BD5" s="492" t="s">
        <v>529</v>
      </c>
      <c r="BE5" s="544" t="s">
        <v>535</v>
      </c>
      <c r="BF5" s="587"/>
      <c r="BG5" s="588"/>
      <c r="BH5" s="588"/>
      <c r="BI5" s="588"/>
      <c r="BJ5" s="588"/>
      <c r="BK5" s="588"/>
      <c r="BL5" s="588"/>
      <c r="BM5" s="588"/>
      <c r="BN5" s="584"/>
      <c r="BT5" s="0">
        <v>0</v>
      </c>
    </row>
    <row r="6" ht="55.5" customHeight="1">
      <c r="A6" s="617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05"/>
      <c r="S6" s="532" t="s">
        <v>530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569</v>
      </c>
      <c r="AJ6" s="468" t="s">
        <v>570</v>
      </c>
      <c r="AK6" s="469" t="s">
        <v>571</v>
      </c>
      <c r="AL6" s="468" t="s">
        <v>293</v>
      </c>
      <c r="AM6" s="468" t="s">
        <v>572</v>
      </c>
      <c r="AN6" s="470" t="s">
        <v>573</v>
      </c>
      <c r="AO6" s="591" t="s">
        <v>574</v>
      </c>
      <c r="AP6" s="592"/>
      <c r="AQ6" s="417"/>
      <c r="AR6" s="416"/>
      <c r="AS6" s="430" t="s">
        <v>530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530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84"/>
    </row>
    <row r="7" ht="18.75" customHeight="1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05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84"/>
    </row>
    <row r="8" ht="55.5" customHeight="1">
      <c r="A8" s="417"/>
      <c r="B8" s="626"/>
      <c r="C8" s="626"/>
      <c r="D8" s="626"/>
      <c r="E8" s="417"/>
      <c r="F8" s="628"/>
      <c r="G8" s="628"/>
      <c r="H8" s="628"/>
      <c r="I8" s="617"/>
      <c r="J8" s="625"/>
      <c r="K8" s="625"/>
      <c r="L8" s="625"/>
      <c r="M8" s="617"/>
      <c r="N8" s="627"/>
      <c r="O8" s="627"/>
      <c r="P8" s="627"/>
      <c r="Q8" s="417"/>
      <c r="R8" s="605"/>
      <c r="S8" s="630"/>
      <c r="T8" s="630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593"/>
      <c r="AP8" s="594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84"/>
    </row>
    <row r="9" ht="55.5" customHeight="1">
      <c r="A9" s="417"/>
      <c r="B9" s="626"/>
      <c r="C9" s="626"/>
      <c r="D9" s="626"/>
      <c r="E9" s="417"/>
      <c r="F9" s="628"/>
      <c r="G9" s="628"/>
      <c r="H9" s="628"/>
      <c r="I9" s="617"/>
      <c r="J9" s="625"/>
      <c r="K9" s="625"/>
      <c r="L9" s="625"/>
      <c r="M9" s="617"/>
      <c r="N9" s="627"/>
      <c r="O9" s="627"/>
      <c r="P9" s="627"/>
      <c r="Q9" s="417"/>
      <c r="R9" s="605"/>
      <c r="S9" s="631"/>
      <c r="T9" s="631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575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575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84"/>
    </row>
    <row r="10" ht="55.5" customHeight="1">
      <c r="A10" s="417"/>
      <c r="B10" s="626"/>
      <c r="C10" s="626"/>
      <c r="D10" s="626"/>
      <c r="E10" s="417"/>
      <c r="F10" s="628"/>
      <c r="G10" s="628"/>
      <c r="H10" s="628"/>
      <c r="I10" s="617"/>
      <c r="J10" s="625"/>
      <c r="K10" s="625"/>
      <c r="L10" s="625"/>
      <c r="M10" s="617"/>
      <c r="N10" s="627"/>
      <c r="O10" s="627"/>
      <c r="P10" s="627"/>
      <c r="Q10" s="417"/>
      <c r="R10" s="605"/>
      <c r="S10" s="531" t="s">
        <v>528</v>
      </c>
      <c r="T10" s="426" t="s">
        <v>532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32" t="s">
        <v>576</v>
      </c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416"/>
      <c r="AS10" s="425" t="s">
        <v>528</v>
      </c>
      <c r="AT10" s="426" t="s">
        <v>532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528</v>
      </c>
      <c r="BE10" s="426" t="s">
        <v>532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84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05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84"/>
    </row>
    <row r="12" ht="55.5" customHeight="1" s="415" customFormat="1">
      <c r="A12" s="417"/>
      <c r="B12" s="625"/>
      <c r="C12" s="625"/>
      <c r="D12" s="625"/>
      <c r="E12" s="417"/>
      <c r="F12" s="633"/>
      <c r="G12" s="633"/>
      <c r="H12" s="633"/>
      <c r="I12" s="617"/>
      <c r="J12" s="625"/>
      <c r="K12" s="625"/>
      <c r="L12" s="625"/>
      <c r="M12" s="617"/>
      <c r="N12" s="618"/>
      <c r="O12" s="618"/>
      <c r="P12" s="618"/>
      <c r="Q12" s="417"/>
      <c r="R12" s="605"/>
      <c r="S12" s="532" t="s">
        <v>577</v>
      </c>
      <c r="T12" s="535"/>
      <c r="AC12" s="417"/>
      <c r="AD12" s="416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416"/>
      <c r="AS12" s="440" t="s">
        <v>577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577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84"/>
    </row>
    <row r="13" ht="55.5" customHeight="1" s="415" customFormat="1">
      <c r="A13" s="417"/>
      <c r="B13" s="625"/>
      <c r="C13" s="625"/>
      <c r="D13" s="625"/>
      <c r="E13" s="417"/>
      <c r="F13" s="633"/>
      <c r="G13" s="633"/>
      <c r="H13" s="633"/>
      <c r="I13" s="617"/>
      <c r="J13" s="625"/>
      <c r="K13" s="625"/>
      <c r="L13" s="625"/>
      <c r="M13" s="617"/>
      <c r="N13" s="618"/>
      <c r="O13" s="618"/>
      <c r="P13" s="618"/>
      <c r="Q13" s="417"/>
      <c r="R13" s="605"/>
      <c r="S13" s="537" t="s">
        <v>578</v>
      </c>
      <c r="T13" s="498"/>
      <c r="AC13" s="417"/>
      <c r="AD13" s="416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416"/>
      <c r="AS13" s="440" t="s">
        <v>578</v>
      </c>
      <c r="AT13" s="440"/>
      <c r="AU13" s="477"/>
      <c r="AV13" s="477"/>
      <c r="AW13" s="477"/>
      <c r="AX13" s="477"/>
      <c r="AY13" s="477"/>
      <c r="AZ13" s="477"/>
      <c r="BA13" s="477" t="s">
        <v>579</v>
      </c>
      <c r="BB13" s="477"/>
      <c r="BC13" s="416"/>
      <c r="BD13" s="494" t="s">
        <v>578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84"/>
    </row>
    <row r="14" ht="55.5" customHeight="1" s="415" customFormat="1">
      <c r="A14" s="417"/>
      <c r="B14" s="625"/>
      <c r="C14" s="625"/>
      <c r="D14" s="625"/>
      <c r="E14" s="417"/>
      <c r="F14" s="633"/>
      <c r="G14" s="633"/>
      <c r="H14" s="633"/>
      <c r="I14" s="617"/>
      <c r="J14" s="625"/>
      <c r="K14" s="625"/>
      <c r="L14" s="625"/>
      <c r="M14" s="617"/>
      <c r="N14" s="618"/>
      <c r="O14" s="618"/>
      <c r="P14" s="618"/>
      <c r="Q14" s="417"/>
      <c r="R14" s="605"/>
      <c r="S14" s="538" t="s">
        <v>580</v>
      </c>
      <c r="T14" s="536"/>
      <c r="U14" s="499" t="s">
        <v>536</v>
      </c>
      <c r="V14" s="58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0"/>
      <c r="X14" s="590"/>
      <c r="Y14" s="590"/>
      <c r="Z14" s="590"/>
      <c r="AA14" s="590"/>
      <c r="AB14" s="590"/>
      <c r="AC14" s="590"/>
      <c r="AD14" s="416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416"/>
      <c r="AS14" s="440" t="s">
        <v>580</v>
      </c>
      <c r="AT14" s="440"/>
      <c r="AU14" s="436" t="s">
        <v>536</v>
      </c>
      <c r="AV14" s="58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0"/>
      <c r="AX14" s="590"/>
      <c r="AY14" s="590"/>
      <c r="AZ14" s="590"/>
      <c r="BA14" s="590"/>
      <c r="BB14" s="590"/>
      <c r="BC14" s="416"/>
      <c r="BD14" s="494" t="s">
        <v>580</v>
      </c>
      <c r="BE14" s="494"/>
      <c r="BF14" s="499" t="s">
        <v>534</v>
      </c>
      <c r="BG14" s="58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0"/>
      <c r="BI14" s="590"/>
      <c r="BJ14" s="590"/>
      <c r="BK14" s="590"/>
      <c r="BL14" s="590"/>
      <c r="BM14" s="590"/>
      <c r="BN14" s="542"/>
    </row>
    <row r="15" ht="18.75" customHeight="1" s="415" customFormat="1">
      <c r="A15" s="417"/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417"/>
      <c r="R15" s="605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17"/>
      <c r="B16" s="617"/>
      <c r="C16" s="617"/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05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17"/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05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17"/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05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17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05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17"/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05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16"/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05"/>
      <c r="S21" s="603" t="s">
        <v>581</v>
      </c>
      <c r="T21" s="604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582</v>
      </c>
      <c r="AT21" s="418"/>
      <c r="AU21" s="481"/>
      <c r="AW21" s="487"/>
      <c r="BC21" s="416"/>
      <c r="BD21" s="418" t="s">
        <v>583</v>
      </c>
      <c r="BE21" s="418"/>
      <c r="BF21" s="481"/>
      <c r="BH21" s="487"/>
      <c r="BN21" s="417"/>
    </row>
    <row r="22" ht="39.75" customHeight="1" s="415" customFormat="1">
      <c r="A22" s="616"/>
      <c r="B22" s="616"/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05"/>
      <c r="S22" s="444" t="s">
        <v>567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23" t="s">
        <v>567</v>
      </c>
      <c r="AF22" s="623"/>
      <c r="AG22" s="624">
        <f>'شماسي و كانتليفر'!AE12</f>
        <v>24537.5</v>
      </c>
      <c r="AH22" s="624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567</v>
      </c>
      <c r="AT22" s="475">
        <f>'بيرسا و لوفرز'!R69</f>
        <v>341466.75</v>
      </c>
      <c r="AU22" s="482"/>
      <c r="BC22" s="416"/>
      <c r="BD22" s="474" t="s">
        <v>567</v>
      </c>
      <c r="BE22" s="475">
        <f>'بيرسا و لوفرز'!R140</f>
        <v>210725.45</v>
      </c>
      <c r="BF22" s="482"/>
      <c r="BN22" s="417"/>
    </row>
    <row r="23" ht="39.75" customHeight="1" s="415" customFormat="1">
      <c r="A23" s="616"/>
      <c r="B23" s="616"/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05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23"/>
      <c r="AF23" s="623"/>
      <c r="AG23" s="624"/>
      <c r="AH23" s="624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17073.3375</v>
      </c>
      <c r="AU23" s="482"/>
      <c r="AV23" s="483"/>
      <c r="BC23" s="416"/>
      <c r="BD23" s="474" t="s">
        <v>127</v>
      </c>
      <c r="BE23" s="476">
        <f>BE22/(BE33*BE34/10000)</f>
        <v>24389.519675925927</v>
      </c>
      <c r="BF23" s="482"/>
      <c r="BG23" s="483"/>
      <c r="BN23" s="417"/>
    </row>
    <row r="24" ht="39.75" customHeight="1" s="415" customFormat="1">
      <c r="A24" s="616"/>
      <c r="B24" s="616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05"/>
      <c r="S24" s="442" t="s">
        <v>568</v>
      </c>
      <c r="T24" s="443" t="s">
        <v>16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568</v>
      </c>
      <c r="AT24" s="426" t="s">
        <v>16</v>
      </c>
      <c r="BC24" s="416"/>
      <c r="BD24" s="428" t="s">
        <v>568</v>
      </c>
      <c r="BE24" s="426" t="s">
        <v>21</v>
      </c>
      <c r="BN24" s="417"/>
    </row>
    <row r="25" ht="39.75" customHeight="1">
      <c r="A25" s="616"/>
      <c r="B25" s="616"/>
      <c r="C25" s="616"/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05"/>
      <c r="S25" s="447" t="s">
        <v>529</v>
      </c>
      <c r="T25" s="448" t="s">
        <v>533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529</v>
      </c>
      <c r="AT25" s="429" t="s">
        <v>533</v>
      </c>
      <c r="AW25" s="495">
        <f>AT34</f>
        <v>500</v>
      </c>
      <c r="BD25" s="428" t="s">
        <v>529</v>
      </c>
      <c r="BE25" s="429" t="s">
        <v>535</v>
      </c>
      <c r="BH25" s="495">
        <f>BE34</f>
        <v>270</v>
      </c>
      <c r="BN25" s="417"/>
    </row>
    <row r="26" ht="39.75" customHeight="1">
      <c r="A26" s="616"/>
      <c r="B26" s="616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05"/>
      <c r="S26" s="442" t="s">
        <v>530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07" t="s">
        <v>569</v>
      </c>
      <c r="AH26" s="611" t="s">
        <v>198</v>
      </c>
      <c r="AI26" s="607" t="s">
        <v>293</v>
      </c>
      <c r="AJ26" s="607" t="s">
        <v>572</v>
      </c>
      <c r="AK26" s="607" t="s">
        <v>573</v>
      </c>
      <c r="AL26" s="621" t="s">
        <v>574</v>
      </c>
      <c r="AM26" s="621"/>
      <c r="AN26" s="417"/>
      <c r="AO26" s="417"/>
      <c r="AP26" s="417"/>
      <c r="AQ26" s="417"/>
      <c r="AR26" s="416"/>
      <c r="AS26" s="430" t="s">
        <v>530</v>
      </c>
      <c r="AT26" s="431" t="s">
        <v>227</v>
      </c>
      <c r="BD26" s="430" t="s">
        <v>530</v>
      </c>
      <c r="BE26" s="431" t="s">
        <v>231</v>
      </c>
      <c r="BN26" s="417"/>
    </row>
    <row r="27" ht="39.75" customHeight="1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05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08"/>
      <c r="AH27" s="612"/>
      <c r="AI27" s="608"/>
      <c r="AJ27" s="608"/>
      <c r="AK27" s="608"/>
      <c r="AL27" s="622"/>
      <c r="AM27" s="622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05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09" t="s">
        <v>254</v>
      </c>
      <c r="AH28" s="609" t="s">
        <v>171</v>
      </c>
      <c r="AI28" s="609" t="s">
        <v>231</v>
      </c>
      <c r="AJ28" s="609" t="s">
        <v>206</v>
      </c>
      <c r="AK28" s="609" t="s">
        <v>259</v>
      </c>
      <c r="AL28" s="619"/>
      <c r="AM28" s="619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16"/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05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0"/>
      <c r="AH29" s="610"/>
      <c r="AI29" s="610"/>
      <c r="AJ29" s="610"/>
      <c r="AK29" s="610"/>
      <c r="AL29" s="620"/>
      <c r="AM29" s="620"/>
      <c r="AN29" s="417"/>
      <c r="AO29" s="417"/>
      <c r="AP29" s="417"/>
      <c r="AQ29" s="417"/>
      <c r="AR29" s="416"/>
      <c r="AS29" s="425" t="s">
        <v>575</v>
      </c>
      <c r="AT29" s="485" t="s">
        <v>187</v>
      </c>
      <c r="BD29" s="425" t="s">
        <v>575</v>
      </c>
      <c r="BE29" s="485" t="s">
        <v>187</v>
      </c>
      <c r="BN29" s="417"/>
    </row>
    <row r="30" ht="39.75" customHeight="1">
      <c r="A30" s="616"/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05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528</v>
      </c>
      <c r="AT30" s="485" t="s">
        <v>532</v>
      </c>
      <c r="AV30" s="486"/>
      <c r="AW30" s="487"/>
      <c r="AX30" s="487"/>
      <c r="AY30" s="487"/>
      <c r="AZ30" s="487"/>
      <c r="BD30" s="425" t="s">
        <v>528</v>
      </c>
      <c r="BE30" s="485" t="s">
        <v>532</v>
      </c>
      <c r="BG30" s="486"/>
      <c r="BH30" s="487"/>
      <c r="BI30" s="487"/>
      <c r="BJ30" s="487"/>
      <c r="BK30" s="487"/>
      <c r="BN30" s="417"/>
    </row>
    <row r="31" ht="39.7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05"/>
      <c r="S31" s="442" t="s">
        <v>585</v>
      </c>
      <c r="T31" s="452"/>
      <c r="U31" s="453" t="s">
        <v>532</v>
      </c>
      <c r="V31" s="415"/>
      <c r="W31" s="415"/>
      <c r="X31" s="454">
        <v>1700</v>
      </c>
      <c r="Y31" s="415"/>
      <c r="Z31" s="415"/>
      <c r="AA31" s="415"/>
      <c r="AB31" s="415"/>
      <c r="AC31" s="415"/>
      <c r="AD31" s="416"/>
      <c r="AE31" s="634" t="s">
        <v>586</v>
      </c>
      <c r="AF31" s="634"/>
      <c r="AG31" s="634"/>
      <c r="AH31" s="634"/>
      <c r="AI31" s="634"/>
      <c r="AJ31" s="634"/>
      <c r="AK31" s="634"/>
      <c r="AL31" s="634"/>
      <c r="AM31" s="634"/>
      <c r="AN31" s="634"/>
      <c r="AO31" s="634"/>
      <c r="AP31" s="634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16"/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05"/>
      <c r="S32" s="442" t="s">
        <v>577</v>
      </c>
      <c r="T32" s="455" t="s">
        <v>536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577</v>
      </c>
      <c r="AT32" s="436" t="s">
        <v>534</v>
      </c>
      <c r="BA32" s="486"/>
      <c r="BD32" s="440" t="s">
        <v>577</v>
      </c>
      <c r="BE32" s="436" t="s">
        <v>536</v>
      </c>
      <c r="BL32" s="486"/>
      <c r="BN32" s="417"/>
    </row>
    <row r="33" ht="39.75" customHeight="1">
      <c r="A33" s="616"/>
      <c r="B33" s="616"/>
      <c r="C33" s="616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05"/>
      <c r="S33" s="442" t="s">
        <v>578</v>
      </c>
      <c r="T33" s="457"/>
      <c r="U33" s="456"/>
      <c r="V33" s="635"/>
      <c r="W33" s="635"/>
      <c r="X33" s="458"/>
      <c r="Y33" s="456"/>
      <c r="Z33" s="456"/>
      <c r="AA33" s="455">
        <v>500</v>
      </c>
      <c r="AB33" s="456"/>
      <c r="AC33" s="456"/>
      <c r="AD33" s="416"/>
      <c r="AE33" s="618"/>
      <c r="AF33" s="618"/>
      <c r="AG33" s="618"/>
      <c r="AH33" s="618"/>
      <c r="AI33" s="618"/>
      <c r="AJ33" s="618"/>
      <c r="AK33" s="618"/>
      <c r="AL33" s="618"/>
      <c r="AM33" s="618"/>
      <c r="AN33" s="618"/>
      <c r="AO33" s="618"/>
      <c r="AP33" s="618"/>
      <c r="AQ33" s="618"/>
      <c r="AR33" s="416"/>
      <c r="AS33" s="440" t="s">
        <v>578</v>
      </c>
      <c r="AT33" s="440">
        <v>400</v>
      </c>
      <c r="BA33" s="0" t="s">
        <v>579</v>
      </c>
      <c r="BD33" s="440" t="s">
        <v>578</v>
      </c>
      <c r="BE33" s="440">
        <v>320</v>
      </c>
      <c r="BL33" s="0" t="s">
        <v>579</v>
      </c>
      <c r="BN33" s="417"/>
    </row>
    <row r="34" ht="40.5" customHeight="1">
      <c r="A34" s="616"/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05"/>
      <c r="S34" s="442" t="s">
        <v>580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416"/>
      <c r="AS34" s="440" t="s">
        <v>580</v>
      </c>
      <c r="AT34" s="440">
        <v>500</v>
      </c>
      <c r="AU34" s="488"/>
      <c r="AZ34" s="595"/>
      <c r="BA34" s="595"/>
      <c r="BB34" s="595"/>
      <c r="BD34" s="440" t="s">
        <v>580</v>
      </c>
      <c r="BE34" s="440">
        <v>270</v>
      </c>
      <c r="BF34" s="488"/>
      <c r="BK34" s="595"/>
      <c r="BL34" s="595"/>
      <c r="BM34" s="595"/>
      <c r="BN34" s="417"/>
    </row>
    <row r="35" ht="41.25" customHeight="1">
      <c r="A35" s="616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05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18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416"/>
      <c r="AS35" s="417"/>
      <c r="AT35" s="417"/>
      <c r="BD35" s="417"/>
      <c r="BE35" s="417"/>
      <c r="BN35" s="417"/>
    </row>
    <row r="36" ht="41.25" customHeight="1">
      <c r="A36" s="616"/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05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538</v>
      </c>
      <c r="AD36" s="416"/>
      <c r="AE36" s="618"/>
      <c r="AF36" s="618"/>
      <c r="AG36" s="618"/>
      <c r="AH36" s="618"/>
      <c r="AI36" s="618"/>
      <c r="AJ36" s="618"/>
      <c r="AK36" s="618"/>
      <c r="AL36" s="618"/>
      <c r="AM36" s="618"/>
      <c r="AN36" s="618"/>
      <c r="AO36" s="618"/>
      <c r="AP36" s="618"/>
      <c r="AQ36" s="618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16"/>
      <c r="B37" s="616"/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05"/>
      <c r="S37" s="417"/>
      <c r="T37" s="417"/>
      <c r="U37" s="6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29"/>
      <c r="W37" s="629"/>
      <c r="X37" s="629"/>
      <c r="Y37" s="629"/>
      <c r="Z37" s="629"/>
      <c r="AA37" s="629"/>
      <c r="AB37" s="629"/>
      <c r="AC37" s="629"/>
      <c r="AD37" s="416"/>
      <c r="AE37" s="618"/>
      <c r="AF37" s="618"/>
      <c r="AG37" s="618"/>
      <c r="AH37" s="618"/>
      <c r="AI37" s="618"/>
      <c r="AJ37" s="618"/>
      <c r="AK37" s="618"/>
      <c r="AL37" s="618"/>
      <c r="AM37" s="618"/>
      <c r="AN37" s="618"/>
      <c r="AO37" s="618"/>
      <c r="AP37" s="618"/>
      <c r="AQ37" s="618"/>
      <c r="AR37" s="416"/>
      <c r="AS37" s="598">
        <f>('بيرسا و لوفرز'!F24+'بيرسا و لوفرز'!V55+'بيرسا و لوفرز'!V63)*1.35</f>
        <v>210753.90000000002</v>
      </c>
      <c r="AT37" s="599"/>
      <c r="BD37" s="598">
        <f>('بيرسا و لوفرز'!F97+'بيرسا و لوفرز'!V126+'بيرسا و لوفرز'!V134)*1.35</f>
        <v>120777.75000000002</v>
      </c>
      <c r="BE37" s="599"/>
      <c r="BN37" s="417"/>
    </row>
    <row r="38" ht="41.25" customHeight="1">
      <c r="A38" s="617"/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05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18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416"/>
      <c r="AS38" s="598">
        <f>AS37/(AT34*AT33/10000)</f>
        <v>10537.695000000002</v>
      </c>
      <c r="AT38" s="599"/>
      <c r="BD38" s="598">
        <f>BD37/(BE33*BE34/10000)</f>
        <v>13978.90625</v>
      </c>
      <c r="BE38" s="599"/>
      <c r="BK38" s="495">
        <f>BE33</f>
        <v>320</v>
      </c>
      <c r="BN38" s="417"/>
    </row>
    <row r="39" ht="41.25" customHeight="1">
      <c r="A39" s="617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05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17"/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05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17"/>
      <c r="B41" s="617"/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05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  <c r="AC41" s="617"/>
      <c r="AD41" s="416"/>
      <c r="AE41" s="614" t="s">
        <v>587</v>
      </c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416"/>
      <c r="AS41" s="600" t="s">
        <v>588</v>
      </c>
      <c r="AT41" s="600"/>
      <c r="AU41" s="600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17"/>
      <c r="B42" s="617"/>
      <c r="C42" s="617"/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05"/>
      <c r="S42" s="603" t="s">
        <v>590</v>
      </c>
      <c r="T42" s="604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416"/>
      <c r="AS42" s="474" t="s">
        <v>567</v>
      </c>
      <c r="AT42" s="475">
        <f>'بيرسا و لوفرز'!BM68</f>
        <v>201181.045</v>
      </c>
      <c r="AU42" s="482"/>
      <c r="BD42" s="474" t="s">
        <v>567</v>
      </c>
      <c r="BE42" s="475">
        <f>'بيرسا و لوفرز'!BM139</f>
        <v>213056.545</v>
      </c>
      <c r="BF42" s="482"/>
      <c r="BN42" s="417"/>
    </row>
    <row r="43" ht="42" customHeight="1">
      <c r="A43" s="616" t="s">
        <v>591</v>
      </c>
      <c r="B43" s="616"/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05"/>
      <c r="S43" s="444" t="s">
        <v>567</v>
      </c>
      <c r="T43" s="445">
        <f>'شماسي و كانتليفر'!N51</f>
        <v>61763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416"/>
      <c r="AS43" s="474" t="s">
        <v>127</v>
      </c>
      <c r="AT43" s="476">
        <f>AT42/(AT53*AT54/10000)</f>
        <v>10059.05225</v>
      </c>
      <c r="AU43" s="482"/>
      <c r="AV43" s="483"/>
      <c r="BD43" s="474" t="s">
        <v>127</v>
      </c>
      <c r="BE43" s="476">
        <f>BE42/(BE53*BE54/10000)</f>
        <v>10652.82725</v>
      </c>
      <c r="BF43" s="482"/>
      <c r="BG43" s="483"/>
      <c r="BN43" s="417"/>
    </row>
    <row r="44" ht="42" customHeight="1">
      <c r="A44" s="616"/>
      <c r="B44" s="616"/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05"/>
      <c r="S44" s="446" t="s">
        <v>127</v>
      </c>
      <c r="T44" s="445">
        <f>T43/T51</f>
        <v>2470.52</v>
      </c>
      <c r="U44" s="460"/>
      <c r="V44" s="460"/>
      <c r="W44" s="460"/>
      <c r="X44" s="460"/>
      <c r="Y44" s="615"/>
      <c r="Z44" s="615"/>
      <c r="AA44" s="460"/>
      <c r="AB44" s="460"/>
      <c r="AC44" s="460"/>
      <c r="AD44" s="416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416"/>
      <c r="AS44" s="428" t="s">
        <v>568</v>
      </c>
      <c r="AT44" s="426" t="s">
        <v>44</v>
      </c>
      <c r="BD44" s="428" t="s">
        <v>568</v>
      </c>
      <c r="BE44" s="426" t="s">
        <v>38</v>
      </c>
      <c r="BN44" s="417"/>
    </row>
    <row r="45" ht="42" customHeight="1">
      <c r="A45" s="616"/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05"/>
      <c r="S45" s="442" t="s">
        <v>568</v>
      </c>
      <c r="T45" s="443" t="s">
        <v>21</v>
      </c>
      <c r="U45" s="460"/>
      <c r="V45" s="460"/>
      <c r="W45" s="460"/>
      <c r="X45" s="460"/>
      <c r="Y45" s="615"/>
      <c r="Z45" s="615"/>
      <c r="AA45" s="460"/>
      <c r="AB45" s="460"/>
      <c r="AC45" s="460"/>
      <c r="AD45" s="416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416"/>
      <c r="AS45" s="428" t="s">
        <v>529</v>
      </c>
      <c r="AT45" s="429" t="s">
        <v>535</v>
      </c>
      <c r="AZ45" s="495">
        <f>AT53</f>
        <v>500</v>
      </c>
      <c r="BD45" s="428" t="s">
        <v>529</v>
      </c>
      <c r="BE45" s="429" t="s">
        <v>535</v>
      </c>
      <c r="BN45" s="417"/>
    </row>
    <row r="46" ht="42" customHeight="1">
      <c r="A46" s="616"/>
      <c r="B46" s="616"/>
      <c r="C46" s="616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05"/>
      <c r="S46" s="447" t="s">
        <v>529</v>
      </c>
      <c r="T46" s="448" t="s">
        <v>533</v>
      </c>
      <c r="U46" s="460"/>
      <c r="V46" s="460"/>
      <c r="W46" s="460"/>
      <c r="X46" s="460"/>
      <c r="Y46" s="615"/>
      <c r="Z46" s="615"/>
      <c r="AA46" s="460"/>
      <c r="AB46" s="460"/>
      <c r="AC46" s="460"/>
      <c r="AD46" s="416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416"/>
      <c r="AS46" s="430" t="s">
        <v>530</v>
      </c>
      <c r="AT46" s="431" t="s">
        <v>227</v>
      </c>
      <c r="AX46" s="495">
        <f>AT54</f>
        <v>400</v>
      </c>
      <c r="BD46" s="430" t="s">
        <v>530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16"/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05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16"/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05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416"/>
      <c r="AS48" s="441"/>
      <c r="AT48" s="441"/>
      <c r="BD48" s="441"/>
      <c r="BE48" s="441"/>
      <c r="BN48" s="417"/>
    </row>
    <row r="49" ht="42" customHeight="1">
      <c r="A49" s="616"/>
      <c r="B49" s="616"/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05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416"/>
      <c r="AS49" s="425" t="s">
        <v>575</v>
      </c>
      <c r="AT49" s="485" t="s">
        <v>187</v>
      </c>
      <c r="BD49" s="425" t="s">
        <v>575</v>
      </c>
      <c r="BE49" s="485" t="s">
        <v>187</v>
      </c>
      <c r="BN49" s="417"/>
    </row>
    <row r="50" ht="42" customHeight="1">
      <c r="A50" s="616"/>
      <c r="B50" s="616"/>
      <c r="C50" s="616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05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416"/>
      <c r="AS50" s="425" t="s">
        <v>528</v>
      </c>
      <c r="AT50" s="485" t="s">
        <v>532</v>
      </c>
      <c r="AV50" s="486"/>
      <c r="AW50" s="487"/>
      <c r="AX50" s="487"/>
      <c r="AY50" s="487"/>
      <c r="AZ50" s="487"/>
      <c r="BD50" s="425" t="s">
        <v>528</v>
      </c>
      <c r="BE50" s="485" t="s">
        <v>532</v>
      </c>
      <c r="BG50" s="486"/>
      <c r="BH50" s="487"/>
      <c r="BI50" s="487"/>
      <c r="BJ50" s="487"/>
      <c r="BK50" s="487"/>
      <c r="BN50" s="417"/>
    </row>
    <row r="51" ht="42" customHeight="1">
      <c r="A51" s="616"/>
      <c r="B51" s="616"/>
      <c r="C51" s="616"/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05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16"/>
      <c r="B52" s="616"/>
      <c r="C52" s="616"/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05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416"/>
      <c r="AS52" s="440" t="s">
        <v>577</v>
      </c>
      <c r="AT52" s="436" t="s">
        <v>534</v>
      </c>
      <c r="BA52" s="486"/>
      <c r="BD52" s="440" t="s">
        <v>577</v>
      </c>
      <c r="BE52" s="436" t="s">
        <v>534</v>
      </c>
      <c r="BL52" s="486"/>
      <c r="BN52" s="417"/>
    </row>
    <row r="53" ht="42" customHeight="1">
      <c r="A53" s="616"/>
      <c r="B53" s="616"/>
      <c r="C53" s="616"/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05"/>
      <c r="S53" s="442" t="s">
        <v>577</v>
      </c>
      <c r="T53" s="455" t="s">
        <v>536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416"/>
      <c r="AS53" s="440" t="s">
        <v>578</v>
      </c>
      <c r="AT53" s="440">
        <v>500</v>
      </c>
      <c r="BA53" s="0" t="s">
        <v>579</v>
      </c>
      <c r="BD53" s="440" t="s">
        <v>578</v>
      </c>
      <c r="BE53" s="440">
        <v>500</v>
      </c>
      <c r="BL53" s="0" t="s">
        <v>579</v>
      </c>
      <c r="BN53" s="417"/>
    </row>
    <row r="54" ht="42" customHeight="1">
      <c r="A54" s="616"/>
      <c r="B54" s="616"/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05"/>
      <c r="S54" s="442" t="s">
        <v>578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416"/>
      <c r="AS54" s="440" t="s">
        <v>580</v>
      </c>
      <c r="AT54" s="440">
        <v>400</v>
      </c>
      <c r="AU54" s="488"/>
      <c r="AZ54" s="595"/>
      <c r="BA54" s="595"/>
      <c r="BB54" s="595"/>
      <c r="BD54" s="440" t="s">
        <v>580</v>
      </c>
      <c r="BE54" s="440">
        <v>400</v>
      </c>
      <c r="BF54" s="488"/>
      <c r="BK54" s="595"/>
      <c r="BL54" s="595"/>
      <c r="BM54" s="595"/>
      <c r="BN54" s="417"/>
    </row>
    <row r="55" ht="42" customHeight="1">
      <c r="A55" s="616"/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05"/>
      <c r="S55" s="442" t="s">
        <v>580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416"/>
      <c r="AS55" s="417"/>
      <c r="AT55" s="417"/>
      <c r="BD55" s="417"/>
      <c r="BE55" s="417"/>
      <c r="BN55" s="417"/>
    </row>
    <row r="56" ht="42" customHeight="1">
      <c r="A56" s="616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05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416"/>
      <c r="AS56" s="417"/>
      <c r="AT56" s="417"/>
      <c r="BD56" s="417"/>
      <c r="BE56" s="417"/>
      <c r="BN56" s="417"/>
    </row>
    <row r="57" ht="42" customHeight="1">
      <c r="A57" s="616"/>
      <c r="B57" s="616"/>
      <c r="C57" s="616"/>
      <c r="D57" s="616"/>
      <c r="E57" s="616"/>
      <c r="F57" s="616"/>
      <c r="G57" s="616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05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416"/>
      <c r="AS57" s="596">
        <f>('بيرسا و لوفرز'!BA14+'بيرسا و لوفرز'!BP62+'بيرسا و لوفرز'!BQ54)*1.35</f>
        <v>125565.52500000001</v>
      </c>
      <c r="AT57" s="597"/>
      <c r="BD57" s="596">
        <f>('بيرسا و لوفرز'!BA85+'بيرسا و لوفرز'!BP133+'بيرسا و لوفرز'!BQ125)*1.35</f>
        <v>125565.52500000001</v>
      </c>
      <c r="BE57" s="597"/>
      <c r="BN57" s="417"/>
    </row>
    <row r="58" ht="42" customHeight="1">
      <c r="A58" s="616"/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05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416"/>
      <c r="AS58" s="601">
        <f>AS57/(AT53*AT54/10000)</f>
        <v>6278.2762500000008</v>
      </c>
      <c r="AT58" s="602"/>
      <c r="BD58" s="601">
        <f>BD57/(BE53*BE54/10000)</f>
        <v>6278.2762500000008</v>
      </c>
      <c r="BE58" s="602"/>
      <c r="BN58" s="417"/>
    </row>
    <row r="59" ht="39" customHeight="1">
      <c r="A59" s="616"/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05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16" t="s">
        <v>595</v>
      </c>
      <c r="B60" s="616"/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6"/>
      <c r="O60" s="616"/>
      <c r="P60" s="616"/>
      <c r="Q60" s="616"/>
      <c r="R60" s="605"/>
      <c r="S60" s="603" t="s">
        <v>590</v>
      </c>
      <c r="T60" s="604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16"/>
      <c r="B61" s="616"/>
      <c r="C61" s="616"/>
      <c r="D61" s="616"/>
      <c r="E61" s="616"/>
      <c r="F61" s="616"/>
      <c r="G61" s="616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05"/>
      <c r="S61" s="444" t="s">
        <v>567</v>
      </c>
      <c r="T61" s="445">
        <f>'شماسي و كانتليفر'!N84</f>
        <v>77843.700000000012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16"/>
      <c r="B62" s="616"/>
      <c r="C62" s="616"/>
      <c r="D62" s="616"/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05"/>
      <c r="S62" s="446" t="s">
        <v>127</v>
      </c>
      <c r="T62" s="445">
        <f>T61/T69</f>
        <v>3113.7480000000005</v>
      </c>
      <c r="U62" s="460"/>
      <c r="V62" s="460"/>
      <c r="W62" s="460"/>
      <c r="X62" s="460"/>
      <c r="Y62" s="615"/>
      <c r="Z62" s="615"/>
      <c r="AA62" s="460"/>
      <c r="AB62" s="460"/>
      <c r="AC62" s="460"/>
      <c r="AD62" s="416"/>
      <c r="AR62" s="416"/>
      <c r="BN62" s="417"/>
    </row>
    <row r="63" ht="40.5" customHeight="1">
      <c r="A63" s="616"/>
      <c r="B63" s="616"/>
      <c r="C63" s="616"/>
      <c r="D63" s="616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05"/>
      <c r="S63" s="442" t="s">
        <v>568</v>
      </c>
      <c r="T63" s="443" t="s">
        <v>19</v>
      </c>
      <c r="U63" s="460"/>
      <c r="V63" s="460"/>
      <c r="W63" s="460"/>
      <c r="X63" s="460"/>
      <c r="Y63" s="615"/>
      <c r="Z63" s="615"/>
      <c r="AA63" s="460"/>
      <c r="AB63" s="460"/>
      <c r="AC63" s="460"/>
      <c r="AD63" s="416"/>
      <c r="AR63" s="416"/>
      <c r="BN63" s="417"/>
    </row>
    <row r="64" ht="40.5" customHeight="1">
      <c r="A64" s="616"/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6"/>
      <c r="Q64" s="616"/>
      <c r="R64" s="605"/>
      <c r="S64" s="447" t="s">
        <v>529</v>
      </c>
      <c r="T64" s="448" t="s">
        <v>533</v>
      </c>
      <c r="U64" s="460"/>
      <c r="V64" s="460"/>
      <c r="W64" s="460"/>
      <c r="X64" s="460"/>
      <c r="Y64" s="615"/>
      <c r="Z64" s="615"/>
      <c r="AA64" s="460"/>
      <c r="AB64" s="460"/>
      <c r="AC64" s="460"/>
      <c r="AD64" s="416"/>
      <c r="AR64" s="416"/>
      <c r="BN64" s="417"/>
    </row>
    <row r="65" ht="40.5" customHeight="1">
      <c r="A65" s="616"/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  <c r="N65" s="616"/>
      <c r="O65" s="616"/>
      <c r="P65" s="616"/>
      <c r="Q65" s="616"/>
      <c r="R65" s="605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16"/>
      <c r="B66" s="616"/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05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16"/>
      <c r="B67" s="616"/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  <c r="P67" s="616"/>
      <c r="Q67" s="616"/>
      <c r="R67" s="605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16"/>
      <c r="B68" s="616"/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05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16"/>
      <c r="B69" s="616"/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  <c r="N69" s="616"/>
      <c r="O69" s="616"/>
      <c r="P69" s="616"/>
      <c r="Q69" s="616"/>
      <c r="R69" s="605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16"/>
      <c r="B70" s="616"/>
      <c r="C70" s="616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16"/>
      <c r="Q70" s="616"/>
      <c r="R70" s="605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16"/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05"/>
      <c r="S71" s="442" t="s">
        <v>577</v>
      </c>
      <c r="T71" s="455" t="s">
        <v>536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16"/>
      <c r="B72" s="616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05"/>
      <c r="S72" s="442" t="s">
        <v>578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16"/>
      <c r="B73" s="616"/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05"/>
      <c r="S73" s="442" t="s">
        <v>580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16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05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16"/>
      <c r="B75" s="616"/>
      <c r="C75" s="616"/>
      <c r="D75" s="616"/>
      <c r="E75" s="616"/>
      <c r="F75" s="616"/>
      <c r="G75" s="616"/>
      <c r="H75" s="616"/>
      <c r="I75" s="616"/>
      <c r="J75" s="616"/>
      <c r="K75" s="616"/>
      <c r="L75" s="616"/>
      <c r="M75" s="616"/>
      <c r="N75" s="616"/>
      <c r="O75" s="616"/>
      <c r="P75" s="616"/>
      <c r="Q75" s="616"/>
      <c r="R75" s="605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16"/>
      <c r="B76" s="616"/>
      <c r="C76" s="616"/>
      <c r="D76" s="616"/>
      <c r="E76" s="616"/>
      <c r="F76" s="616"/>
      <c r="G76" s="616"/>
      <c r="H76" s="616"/>
      <c r="I76" s="616"/>
      <c r="J76" s="616"/>
      <c r="K76" s="616"/>
      <c r="L76" s="616"/>
      <c r="M76" s="616"/>
      <c r="N76" s="616"/>
      <c r="O76" s="616"/>
      <c r="P76" s="616"/>
      <c r="Q76" s="616"/>
      <c r="R76" s="605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05"/>
      <c r="AD77" s="416"/>
      <c r="AR77" s="416"/>
      <c r="BN77" s="417"/>
    </row>
    <row r="78" ht="15" customHeight="1">
      <c r="A78" s="613" t="s">
        <v>596</v>
      </c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05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13"/>
      <c r="B79" s="613"/>
      <c r="C79" s="613"/>
      <c r="D79" s="613"/>
      <c r="E79" s="613"/>
      <c r="F79" s="613"/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05"/>
      <c r="AC79" s="416"/>
      <c r="AQ79" s="416"/>
      <c r="BB79" s="416"/>
      <c r="BM79" s="417"/>
    </row>
    <row r="80" ht="38.25" customHeight="1">
      <c r="A80" s="613"/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3"/>
      <c r="N80" s="613"/>
      <c r="O80" s="613"/>
      <c r="P80" s="613"/>
      <c r="Q80" s="613"/>
      <c r="R80" s="605"/>
      <c r="AQ80" s="416"/>
      <c r="BB80" s="416"/>
      <c r="BM80" s="417"/>
    </row>
    <row r="81" ht="38.25" customHeight="1">
      <c r="A81" s="613"/>
      <c r="B81" s="613"/>
      <c r="C81" s="613"/>
      <c r="D81" s="613"/>
      <c r="E81" s="613"/>
      <c r="F81" s="613"/>
      <c r="G81" s="613"/>
      <c r="H81" s="613"/>
      <c r="I81" s="613"/>
      <c r="J81" s="613"/>
      <c r="K81" s="613"/>
      <c r="L81" s="613"/>
      <c r="M81" s="613"/>
      <c r="N81" s="613"/>
      <c r="O81" s="613"/>
      <c r="P81" s="613"/>
      <c r="Q81" s="613"/>
      <c r="R81" s="605"/>
      <c r="AQ81" s="416"/>
      <c r="BB81" s="416"/>
      <c r="BM81" s="417"/>
    </row>
    <row r="82" ht="38.25" customHeight="1">
      <c r="A82" s="613"/>
      <c r="B82" s="613"/>
      <c r="C82" s="613"/>
      <c r="D82" s="613"/>
      <c r="E82" s="613"/>
      <c r="F82" s="613"/>
      <c r="G82" s="613"/>
      <c r="H82" s="613"/>
      <c r="I82" s="613"/>
      <c r="J82" s="613"/>
      <c r="K82" s="613"/>
      <c r="L82" s="613"/>
      <c r="M82" s="613"/>
      <c r="N82" s="613"/>
      <c r="O82" s="613"/>
      <c r="P82" s="613"/>
      <c r="Q82" s="613"/>
      <c r="R82" s="605"/>
      <c r="AQ82" s="416"/>
      <c r="BB82" s="416"/>
      <c r="BM82" s="417"/>
    </row>
    <row r="83" ht="38.25" customHeight="1">
      <c r="A83" s="613"/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3"/>
      <c r="O83" s="613"/>
      <c r="P83" s="613"/>
      <c r="Q83" s="613"/>
      <c r="R83" s="605"/>
      <c r="AQ83" s="416"/>
      <c r="BB83" s="416"/>
      <c r="BM83" s="417"/>
    </row>
    <row r="84" ht="38.25" customHeight="1">
      <c r="A84" s="613"/>
      <c r="B84" s="613"/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3"/>
      <c r="O84" s="613"/>
      <c r="P84" s="613"/>
      <c r="Q84" s="613"/>
      <c r="R84" s="605"/>
      <c r="AQ84" s="416"/>
      <c r="BB84" s="416"/>
      <c r="BM84" s="417"/>
    </row>
    <row r="85" ht="38.25" customHeight="1">
      <c r="A85" s="613"/>
      <c r="B85" s="613"/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3"/>
      <c r="O85" s="613"/>
      <c r="P85" s="613"/>
      <c r="Q85" s="613"/>
      <c r="R85" s="605"/>
      <c r="AQ85" s="416"/>
      <c r="BB85" s="416"/>
      <c r="BM85" s="417"/>
    </row>
    <row r="86" ht="38.25" customHeight="1">
      <c r="A86" s="613"/>
      <c r="B86" s="613"/>
      <c r="C86" s="613"/>
      <c r="D86" s="613"/>
      <c r="E86" s="613"/>
      <c r="F86" s="613"/>
      <c r="G86" s="613"/>
      <c r="H86" s="613"/>
      <c r="I86" s="613"/>
      <c r="J86" s="613"/>
      <c r="K86" s="613"/>
      <c r="L86" s="613"/>
      <c r="M86" s="613"/>
      <c r="N86" s="613"/>
      <c r="O86" s="613"/>
      <c r="P86" s="613"/>
      <c r="Q86" s="613"/>
      <c r="R86" s="605"/>
      <c r="AQ86" s="416"/>
      <c r="BB86" s="416"/>
      <c r="BM86" s="417"/>
    </row>
    <row r="87" ht="38.25" customHeight="1">
      <c r="A87" s="613"/>
      <c r="B87" s="613"/>
      <c r="C87" s="613"/>
      <c r="D87" s="613"/>
      <c r="E87" s="613"/>
      <c r="F87" s="613"/>
      <c r="G87" s="613"/>
      <c r="H87" s="613"/>
      <c r="I87" s="613"/>
      <c r="J87" s="613"/>
      <c r="K87" s="613"/>
      <c r="L87" s="613"/>
      <c r="M87" s="613"/>
      <c r="N87" s="613"/>
      <c r="O87" s="613"/>
      <c r="P87" s="613"/>
      <c r="Q87" s="613"/>
      <c r="R87" s="605"/>
      <c r="AQ87" s="416"/>
      <c r="BB87" s="416"/>
      <c r="BM87" s="417"/>
    </row>
    <row r="88" ht="38.25" customHeight="1">
      <c r="A88" s="613"/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05"/>
      <c r="AQ88" s="416"/>
      <c r="BB88" s="416"/>
      <c r="BM88" s="417"/>
    </row>
    <row r="89" ht="38.25" customHeight="1">
      <c r="A89" s="613"/>
      <c r="B89" s="613"/>
      <c r="C89" s="613"/>
      <c r="D89" s="613"/>
      <c r="E89" s="613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05"/>
      <c r="AQ89" s="416"/>
      <c r="BB89" s="416"/>
      <c r="BM89" s="417"/>
    </row>
    <row r="90" ht="38.25" customHeight="1">
      <c r="A90" s="613"/>
      <c r="B90" s="613"/>
      <c r="C90" s="613"/>
      <c r="D90" s="613"/>
      <c r="E90" s="613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05"/>
      <c r="AQ90" s="416"/>
      <c r="BB90" s="416"/>
      <c r="BM90" s="417"/>
    </row>
    <row r="91" ht="38.25" customHeight="1">
      <c r="A91" s="613"/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05"/>
      <c r="AQ91" s="416"/>
      <c r="BB91" s="416"/>
      <c r="BM91" s="417"/>
    </row>
    <row r="92" ht="38.25" customHeight="1">
      <c r="A92" s="613"/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05"/>
      <c r="AQ92" s="416"/>
      <c r="BB92" s="416"/>
      <c r="BM92" s="417"/>
    </row>
    <row r="93" ht="38.25" customHeight="1">
      <c r="A93" s="613"/>
      <c r="B93" s="613"/>
      <c r="C93" s="613"/>
      <c r="D93" s="613"/>
      <c r="E93" s="613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05"/>
      <c r="AQ93" s="416"/>
      <c r="BB93" s="416"/>
      <c r="BM93" s="417"/>
    </row>
    <row r="94" ht="38.25" customHeight="1">
      <c r="A94" s="613"/>
      <c r="B94" s="613"/>
      <c r="C94" s="613"/>
      <c r="D94" s="613"/>
      <c r="E94" s="613"/>
      <c r="F94" s="613"/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05"/>
      <c r="AQ94" s="416"/>
      <c r="BB94" s="416"/>
      <c r="BM94" s="417"/>
    </row>
    <row r="95" ht="38.25" customHeight="1">
      <c r="A95" s="613"/>
      <c r="B95" s="613"/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05"/>
      <c r="AQ95" s="416"/>
      <c r="BB95" s="416"/>
      <c r="BM95" s="417"/>
    </row>
    <row r="96" ht="38.25" customHeight="1">
      <c r="A96" s="613"/>
      <c r="B96" s="613"/>
      <c r="C96" s="613"/>
      <c r="D96" s="613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05"/>
      <c r="AQ96" s="416"/>
      <c r="BB96" s="416"/>
      <c r="BM96" s="417"/>
    </row>
    <row r="97" ht="39" customHeight="1">
      <c r="A97" s="613"/>
      <c r="B97" s="613"/>
      <c r="C97" s="613"/>
      <c r="D97" s="613"/>
      <c r="E97" s="613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05"/>
      <c r="AQ97" s="416"/>
      <c r="BB97" s="416"/>
      <c r="BM97" s="417"/>
    </row>
    <row r="98" ht="39" customHeight="1">
      <c r="A98" s="613" t="s">
        <v>597</v>
      </c>
      <c r="B98" s="613"/>
      <c r="C98" s="613"/>
      <c r="D98" s="613"/>
      <c r="E98" s="613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05"/>
      <c r="AR98" s="416"/>
      <c r="BN98" s="417"/>
    </row>
    <row r="99" ht="39" customHeight="1">
      <c r="A99" s="613"/>
      <c r="B99" s="613"/>
      <c r="C99" s="613"/>
      <c r="D99" s="613"/>
      <c r="E99" s="613"/>
      <c r="F99" s="613"/>
      <c r="G99" s="613"/>
      <c r="H99" s="613"/>
      <c r="I99" s="613"/>
      <c r="J99" s="613"/>
      <c r="K99" s="613"/>
      <c r="L99" s="613"/>
      <c r="M99" s="613"/>
      <c r="N99" s="613"/>
      <c r="O99" s="613"/>
      <c r="P99" s="613"/>
      <c r="Q99" s="613"/>
      <c r="R99" s="605"/>
      <c r="AR99" s="416"/>
      <c r="BN99" s="417"/>
    </row>
    <row r="100" ht="39" customHeight="1">
      <c r="A100" s="613"/>
      <c r="B100" s="613"/>
      <c r="C100" s="613"/>
      <c r="D100" s="613"/>
      <c r="E100" s="613"/>
      <c r="F100" s="613"/>
      <c r="G100" s="613"/>
      <c r="H100" s="613"/>
      <c r="I100" s="613"/>
      <c r="J100" s="613"/>
      <c r="K100" s="613"/>
      <c r="L100" s="613"/>
      <c r="M100" s="613"/>
      <c r="N100" s="613"/>
      <c r="O100" s="613"/>
      <c r="P100" s="613"/>
      <c r="Q100" s="613"/>
      <c r="R100" s="605"/>
      <c r="AR100" s="416"/>
      <c r="BN100" s="417"/>
    </row>
    <row r="101" ht="39" customHeight="1">
      <c r="A101" s="613"/>
      <c r="B101" s="613"/>
      <c r="C101" s="613"/>
      <c r="D101" s="613"/>
      <c r="E101" s="613"/>
      <c r="F101" s="613"/>
      <c r="G101" s="613"/>
      <c r="H101" s="613"/>
      <c r="I101" s="613"/>
      <c r="J101" s="613"/>
      <c r="K101" s="613"/>
      <c r="L101" s="613"/>
      <c r="M101" s="613"/>
      <c r="N101" s="613"/>
      <c r="O101" s="613"/>
      <c r="P101" s="613"/>
      <c r="Q101" s="613"/>
      <c r="R101" s="605"/>
      <c r="AR101" s="416"/>
      <c r="BN101" s="417"/>
    </row>
    <row r="102" ht="39" customHeight="1">
      <c r="A102" s="613"/>
      <c r="B102" s="613"/>
      <c r="C102" s="613"/>
      <c r="D102" s="613"/>
      <c r="E102" s="613"/>
      <c r="F102" s="613"/>
      <c r="G102" s="613"/>
      <c r="H102" s="613"/>
      <c r="I102" s="613"/>
      <c r="J102" s="613"/>
      <c r="K102" s="613"/>
      <c r="L102" s="613"/>
      <c r="M102" s="613"/>
      <c r="N102" s="613"/>
      <c r="O102" s="613"/>
      <c r="P102" s="613"/>
      <c r="Q102" s="613"/>
      <c r="R102" s="605"/>
      <c r="AR102" s="416"/>
      <c r="BN102" s="417"/>
    </row>
    <row r="103" ht="39" customHeight="1">
      <c r="A103" s="613"/>
      <c r="B103" s="613"/>
      <c r="C103" s="613"/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05"/>
      <c r="AR103" s="416"/>
      <c r="BN103" s="417"/>
    </row>
    <row r="104" ht="39" customHeight="1">
      <c r="A104" s="613"/>
      <c r="B104" s="613"/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13"/>
      <c r="Q104" s="613"/>
      <c r="R104" s="605"/>
      <c r="AR104" s="416"/>
      <c r="BN104" s="417"/>
    </row>
    <row r="105" ht="39" customHeight="1">
      <c r="A105" s="613"/>
      <c r="B105" s="613"/>
      <c r="C105" s="613"/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05"/>
      <c r="AR105" s="416"/>
      <c r="BN105" s="417"/>
    </row>
    <row r="106" ht="39" customHeight="1">
      <c r="A106" s="613"/>
      <c r="B106" s="613"/>
      <c r="C106" s="613"/>
      <c r="D106" s="613"/>
      <c r="E106" s="613"/>
      <c r="F106" s="613"/>
      <c r="G106" s="613"/>
      <c r="H106" s="613"/>
      <c r="I106" s="613"/>
      <c r="J106" s="613"/>
      <c r="K106" s="613"/>
      <c r="L106" s="613"/>
      <c r="M106" s="613"/>
      <c r="N106" s="613"/>
      <c r="O106" s="613"/>
      <c r="P106" s="613"/>
      <c r="Q106" s="613"/>
      <c r="R106" s="605"/>
      <c r="AR106" s="416"/>
      <c r="BN106" s="417"/>
    </row>
    <row r="107" ht="39" customHeight="1">
      <c r="A107" s="613"/>
      <c r="B107" s="613"/>
      <c r="C107" s="613"/>
      <c r="D107" s="613"/>
      <c r="E107" s="613"/>
      <c r="F107" s="613"/>
      <c r="G107" s="613"/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05"/>
      <c r="AR107" s="416"/>
      <c r="BN107" s="417"/>
    </row>
    <row r="108" ht="39" customHeight="1">
      <c r="A108" s="613"/>
      <c r="B108" s="613"/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05"/>
      <c r="AR108" s="416"/>
      <c r="BN108" s="417"/>
    </row>
    <row r="109" ht="39" customHeight="1">
      <c r="A109" s="613"/>
      <c r="B109" s="613"/>
      <c r="C109" s="613"/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05"/>
      <c r="AR109" s="416"/>
      <c r="BN109" s="417"/>
    </row>
    <row r="110" ht="39" customHeight="1">
      <c r="A110" s="613"/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05"/>
      <c r="AR110" s="416"/>
      <c r="BN110" s="417"/>
    </row>
    <row r="111" ht="39" customHeight="1">
      <c r="A111" s="613"/>
      <c r="B111" s="613"/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05"/>
      <c r="AR111" s="416"/>
      <c r="BN111" s="417"/>
    </row>
    <row r="112" ht="39" customHeight="1">
      <c r="A112" s="613"/>
      <c r="B112" s="613"/>
      <c r="C112" s="613"/>
      <c r="D112" s="613"/>
      <c r="E112" s="613"/>
      <c r="F112" s="613"/>
      <c r="G112" s="613"/>
      <c r="H112" s="613"/>
      <c r="I112" s="613"/>
      <c r="J112" s="613"/>
      <c r="K112" s="613"/>
      <c r="L112" s="613"/>
      <c r="M112" s="613"/>
      <c r="N112" s="613"/>
      <c r="O112" s="613"/>
      <c r="P112" s="613"/>
      <c r="Q112" s="613"/>
      <c r="R112" s="605"/>
      <c r="AR112" s="416"/>
      <c r="BN112" s="417"/>
    </row>
    <row r="113" ht="39" customHeight="1">
      <c r="A113" s="613"/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05"/>
      <c r="AR113" s="416"/>
      <c r="BN113" s="417"/>
    </row>
    <row r="114" ht="39" customHeight="1">
      <c r="A114" s="613"/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05"/>
      <c r="AR114" s="416"/>
      <c r="BN114" s="417"/>
    </row>
    <row r="115" ht="39" customHeight="1">
      <c r="A115" s="613"/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05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522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3"/>
      <c r="I8" s="803"/>
      <c r="J8" s="803"/>
      <c r="K8" s="804"/>
    </row>
    <row r="9">
      <c r="A9" s="4" t="s">
        <v>525</v>
      </c>
      <c r="C9" s="1" t="str">
        <f>IF(Format!N8=5,'Format διαστασης οδηγου'!B2-35,IF(Format!N8=6,'Format διαστασης οδηγου'!B2-31,"-------"))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IF(Format!N8=1,B2,IF(Format!N8=2,'Format διαστασης οδηγου'!B2-11,"-------"))</f>
        <v>700</v>
      </c>
      <c r="K14" s="8"/>
    </row>
    <row r="15">
      <c r="A15" s="4" t="s">
        <v>522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3"/>
      <c r="I16" s="803"/>
      <c r="J16" s="803"/>
      <c r="K16" s="804"/>
    </row>
    <row r="17">
      <c r="A17" s="4" t="s">
        <v>525</v>
      </c>
      <c r="C17" s="1" t="str">
        <f>IF(Format!N8=5,'Format διαστασης οδηγου'!B2-6,IF(Format!N8=6,'Format διαστασης οδηγου'!B2-2,"-------"))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F55" zoomScale="70" zoomScaleNormal="90" zoomScaleSheetLayoutView="70" zoomScalePageLayoutView="90" workbookViewId="0">
      <selection activeCell="J8" sqref="J8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45725.38544017361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0.014426813832512085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0.031738990431526587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0.01900944881460416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0.065175253078642831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3" t="s">
        <v>58</v>
      </c>
      <c r="E10" s="643"/>
      <c r="F10" s="643"/>
      <c r="G10" s="643"/>
      <c r="H10" s="643"/>
      <c r="I10" s="643"/>
      <c r="L10" s="412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3" t="s">
        <v>72</v>
      </c>
      <c r="E15" s="643"/>
      <c r="F15" s="643"/>
      <c r="G15" s="643"/>
      <c r="H15" s="643"/>
      <c r="I15" s="643"/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0.0067890888623586285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0.0042431805389741431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0.0037339988742972458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0.0011032269401332771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0.0016972722155896571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0.00050918166467689712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0.0178213582636914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0.00025459083233844856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0.020367266587075886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0.0038188624850767285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0.060338027264212314</v>
      </c>
    </row>
    <row r="28" ht="21" customHeight="1" s="216" customFormat="1">
      <c r="C28" s="217"/>
      <c r="D28" s="643" t="s">
        <v>95</v>
      </c>
      <c r="E28" s="643"/>
      <c r="F28" s="643"/>
      <c r="G28" s="643"/>
      <c r="H28" s="643"/>
      <c r="I28" s="643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3" t="s">
        <v>99</v>
      </c>
      <c r="E33" s="643"/>
      <c r="F33" s="643"/>
      <c r="G33" s="643"/>
      <c r="H33" s="643"/>
      <c r="I33" s="643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0.00063647708084612145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0.00063647708084612145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0.0010607951347435358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0.0063647708084612143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0.0016972722155896571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0.0066759373813193188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0.0025913709720163519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0.015736138113109824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0.036479229262209131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0.071878468049141275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3" t="s">
        <v>119</v>
      </c>
      <c r="E51" s="643"/>
      <c r="F51" s="643"/>
      <c r="G51" s="643"/>
      <c r="H51" s="643"/>
      <c r="I51" s="643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210</v>
      </c>
      <c r="J53" s="41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0.0093562130884379847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0.016972722155896573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3102.5</v>
      </c>
      <c r="L55" s="244">
        <f>Table1610[[#Totals],[اجمالي]]/$G$79</f>
        <v>0.026328935244334557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3" t="s">
        <v>123</v>
      </c>
      <c r="E56" s="643"/>
      <c r="F56" s="643"/>
      <c r="G56" s="643"/>
      <c r="H56" s="643"/>
      <c r="I56" s="643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2745.8335614033749</v>
      </c>
      <c r="I58" s="247"/>
      <c r="J58" s="413">
        <f>IF((Table1611[[#This Row],[عدد]]&gt;0),'Cutting Ro-1'!O8,0)</f>
        <v>57662.50478947087</v>
      </c>
      <c r="K58" s="240">
        <f>B58*Table1611[[#This Row],[سعر البرجولا كاملة]]</f>
        <v>57662.50478947087</v>
      </c>
      <c r="L58" s="241">
        <f>(K58)/$G$79</f>
        <v>0.48934483630237219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57662.50478947087</v>
      </c>
      <c r="K59" s="240">
        <f>B59*Table1611[[#This Row],[سعر البرجولا كاملة]]</f>
        <v>5766.2504789470877</v>
      </c>
      <c r="L59" s="241">
        <f>(K59)/$G$79</f>
        <v>0.048934483630237224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63428.755268417954</v>
      </c>
      <c r="L60" s="244">
        <f>Table1611[[#Totals],[اجمالي]]/$G$79</f>
        <v>0.53827931993260936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3" t="s">
        <v>131</v>
      </c>
      <c r="E61" s="643"/>
      <c r="F61" s="643"/>
      <c r="G61" s="643"/>
      <c r="H61" s="643"/>
      <c r="I61" s="643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0.0067890888623586285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0.0050918166467689716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0.010183633293537943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0.0050918166467689716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0.033096808203998317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0.024822606152998736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0.022064538802665543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0.022403993245783474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0.029702263772819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0.025459083233844857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0.039037260958562116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0.01425708661095312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4290</v>
      </c>
      <c r="I76" s="520"/>
      <c r="J76" s="525"/>
      <c r="K76" s="526">
        <f>SUBTOTAL(109,Table1612[اجمالي])</f>
        <v>28045</v>
      </c>
      <c r="L76" s="527">
        <f>Table1612[[#Totals],[اجمالي]]/$G$79</f>
        <v>0.23799999643105968</v>
      </c>
    </row>
    <row r="77" ht="18.75">
      <c r="A77" s="216"/>
      <c r="B77" s="216"/>
      <c r="C77" s="217"/>
      <c r="D77" s="636"/>
      <c r="E77" s="636"/>
      <c r="F77" s="636"/>
      <c r="G77" s="636"/>
      <c r="H77" s="636"/>
      <c r="I77" s="636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117836.1362207989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153186.97708703857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45725.3854403588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340</v>
      </c>
      <c r="K6" s="240">
        <f>B6*J6</f>
        <v>4420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1870</v>
      </c>
      <c r="K7" s="240">
        <f ref="K7:K9" t="shared" si="2">B7*J7</f>
        <v>16830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2240</v>
      </c>
      <c r="K9" s="240">
        <f t="shared" si="2"/>
        <v>3360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24610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3" t="s">
        <v>58</v>
      </c>
      <c r="E11" s="643"/>
      <c r="F11" s="643"/>
      <c r="G11" s="643"/>
      <c r="H11" s="643"/>
      <c r="I11" s="643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43" t="s">
        <v>72</v>
      </c>
      <c r="E16" s="643"/>
      <c r="F16" s="643"/>
      <c r="G16" s="643"/>
      <c r="H16" s="643"/>
      <c r="I16" s="643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3500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7280</v>
      </c>
      <c r="L28" s="244" t="e">
        <f>Table1522[[#Totals],[اجمالي]]/$G$84</f>
        <v>#VALUE!</v>
      </c>
    </row>
    <row r="29" ht="18.75" s="216" customFormat="1">
      <c r="C29" s="217"/>
      <c r="D29" s="643" t="s">
        <v>95</v>
      </c>
      <c r="E29" s="643"/>
      <c r="F29" s="643"/>
      <c r="G29" s="643"/>
      <c r="H29" s="643"/>
      <c r="I29" s="643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43" t="s">
        <v>99</v>
      </c>
      <c r="E34" s="643"/>
      <c r="F34" s="643"/>
      <c r="G34" s="643"/>
      <c r="H34" s="643"/>
      <c r="I34" s="643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522.5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6160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21785.833333333332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3" t="s">
        <v>119</v>
      </c>
      <c r="E52" s="643"/>
      <c r="F52" s="643"/>
      <c r="G52" s="643"/>
      <c r="H52" s="643"/>
      <c r="I52" s="643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210</v>
      </c>
      <c r="J54" s="413">
        <f>Table161027[[#This Row],[سعر الكيلو]]*Table161027[[#This Row],[الوزن]]</f>
        <v>367.5</v>
      </c>
      <c r="K54" s="240">
        <f ref="K54:K55" t="shared" si="13">B54*J54</f>
        <v>1470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33470</v>
      </c>
      <c r="L56" s="241" t="e">
        <f>Table161027[[#Totals],[اجمالي]]/$G$84</f>
        <v>#VALUE!</v>
      </c>
    </row>
    <row r="57" ht="18.75" s="216" customFormat="1">
      <c r="C57" s="217"/>
      <c r="D57" s="643" t="s">
        <v>123</v>
      </c>
      <c r="E57" s="643"/>
      <c r="F57" s="643"/>
      <c r="G57" s="643"/>
      <c r="H57" s="643"/>
      <c r="I57" s="643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0.25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43" t="s">
        <v>160</v>
      </c>
      <c r="E62" s="643"/>
      <c r="F62" s="643"/>
      <c r="G62" s="643"/>
      <c r="H62" s="643"/>
      <c r="I62" s="643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43" t="s">
        <v>131</v>
      </c>
      <c r="E66" s="643"/>
      <c r="F66" s="643"/>
      <c r="G66" s="643"/>
      <c r="H66" s="643"/>
      <c r="I66" s="643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200</v>
      </c>
      <c r="E72" s="211">
        <f>SUMIF(Table1731[Column1],Table161229[[#This Row],[موقع العمل]],$Q$2:$Q$26)</f>
        <v>0</v>
      </c>
      <c r="F72" s="211" t="str">
        <f>تسعير!$T$24</f>
        <v>الاسكندرية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800</v>
      </c>
      <c r="K72" s="240">
        <f t="shared" si="14"/>
        <v>3200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200</v>
      </c>
      <c r="E73" s="211">
        <f>SUMIF(Table1731[Column1],Table161229[[#This Row],[موقع العمل]],$Q$2:$Q$26)</f>
        <v>0</v>
      </c>
      <c r="F73" s="211" t="str">
        <f>تسعير!$T$24</f>
        <v>الاسكندرية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800</v>
      </c>
      <c r="K73" s="240">
        <f t="shared" si="14"/>
        <v>2400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200</v>
      </c>
      <c r="E74" s="211">
        <f>SUMIF(Table1731[Column1],Table161229[[#This Row],[موقع العمل]],$Q$2:$Q$26)</f>
        <v>0</v>
      </c>
      <c r="F74" s="211" t="str">
        <f>تسعير!$T$24</f>
        <v>الاسكندرية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200</v>
      </c>
      <c r="E75" s="211">
        <f>SUMIF(Table1731[Column1],Table161229[[#This Row],[موقع العمل]],$Q$2:$Q$26)</f>
        <v>0</v>
      </c>
      <c r="F75" s="211" t="str">
        <f>تسعير!$T$24</f>
        <v>الاسكندرية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5" s="240">
        <f t="shared" si="14"/>
        <v>2400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الاسكندرية</v>
      </c>
      <c r="G76" s="214"/>
      <c r="H76" s="247">
        <f>SUMIF(Table1731[Column1],Table161229[[#This Row],[موقع العمل]],$O$2:$O$26)</f>
        <v>0</v>
      </c>
      <c r="I76" s="247"/>
      <c r="J76" s="243">
        <f>Table161229[[#This Row],[Column12]]</f>
        <v>0</v>
      </c>
      <c r="K76" s="240">
        <f t="shared" si="14"/>
        <v>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الاسكندرية</v>
      </c>
      <c r="G77" s="214"/>
      <c r="H77" s="247">
        <f>SUMIF(Table1731[Column1],Table161229[[#This Row],[موقع العمل]],$P$2:$P$26)</f>
        <v>0</v>
      </c>
      <c r="I77" s="247"/>
      <c r="J77" s="243">
        <f>Table161229[[#This Row],[Column12]]</f>
        <v>0</v>
      </c>
      <c r="K77" s="240">
        <f t="shared" si="14"/>
        <v>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الاسكندرية</v>
      </c>
      <c r="G78" s="214"/>
      <c r="H78" s="247">
        <f>SUMIF(Table1731[Column1],Table161229[[#This Row],[موقع العمل]],$R$2:$R$26)</f>
        <v>500</v>
      </c>
      <c r="I78" s="247"/>
      <c r="J78" s="243">
        <f>Table161229[[#This Row],[Column12]]</f>
        <v>500</v>
      </c>
      <c r="K78" s="240">
        <f t="shared" si="14"/>
        <v>1000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الاسكندرية</v>
      </c>
      <c r="G79" s="214"/>
      <c r="H79" s="247">
        <f>SUMIF(Table1731[Column1],Table161229[[#This Row],[موقع العمل]],$S$2:$S$26)</f>
        <v>1000</v>
      </c>
      <c r="I79" s="247"/>
      <c r="J79" s="243">
        <f>Table161229[[#This Row],[Column12]]</f>
        <v>1000</v>
      </c>
      <c r="K79" s="240">
        <f t="shared" si="14"/>
        <v>1000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الاسكندرية</v>
      </c>
      <c r="G80" s="214"/>
      <c r="H80" s="247">
        <f>SUMIF(Table1731[Column1],Table161229[[#This Row],[موقع العمل]],$T$2:$T$26)</f>
        <v>0</v>
      </c>
      <c r="I80" s="247"/>
      <c r="J80" s="243">
        <f>Table161229[[#This Row],[Column12]]</f>
        <v>0</v>
      </c>
      <c r="K80" s="240">
        <f t="shared" si="14"/>
        <v>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1500</v>
      </c>
      <c r="I81" s="520"/>
      <c r="J81" s="525"/>
      <c r="K81" s="526">
        <f>SUBTOTAL(109,Table161229[اجمالي])</f>
        <v>14800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36"/>
      <c r="E82" s="636"/>
      <c r="F82" s="636"/>
      <c r="G82" s="636"/>
      <c r="H82" s="636"/>
      <c r="I82" s="636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0.5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4" t="s">
        <v>17</v>
      </c>
      <c r="M3" s="645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6">
        <f>NOW()</f>
        <v>45725.385440451391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9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0.019251200644223185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0.053790119447094192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0.073041320091317377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0.0075494904487149739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0.0041522197467932362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0.0024535843958323664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0.0037747452243574869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1882.9</v>
      </c>
      <c r="F15" s="397">
        <f>SUBTOTAL(109,Table8[اجمالي التكلفة])</f>
        <v>23536.25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0.045296942692289843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0.0632269825079879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0.0048190914030963924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0.00084931767548043454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0.00084931767548043454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0.00047184315304468587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0.0028310589182681152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0.0015098980897429949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0.0042937726927066416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0.0091348834429451214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0.021176320708645505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0.045935503759410329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0.44421673643391951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0.044421673643391953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0.48863841007731146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0.0075494904487149739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0.0075494904487149739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0.011324235673072461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0.011324235673072461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0.04907168791664733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0.0368037659374855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0.024535843958323665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0.04982663696151883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0.033029020713128014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0.0868191401602222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0.011324235673072461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0.32915778356397285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52983.708333333336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68878.820833333346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4" t="s">
        <v>17</v>
      </c>
      <c r="M3" s="645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6">
        <f>NOW()</f>
        <v>45725.385440451391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9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0.063133518669592145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0.063133518669592145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0.0055380279534729959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0.0030459153744101476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0.0017998590848787236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0.011076055906945992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1100.9</v>
      </c>
      <c r="F17" s="397">
        <f>SUBTOTAL(109,Table823[اجمالي التكلفة])</f>
        <v>38531.5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0.021459858319707859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0.015506478269724388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0.0066456335441675944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0.022152111813891984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0.0041904411514612347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0.000623028144765712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0.000623028144765712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0.0010383802412761867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0.00623028144765712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0.0016614083860418986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0.002769013976736498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0.042642815241742064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0.049842251581256963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0.060226053994018827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0.0020114117527013924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0.0020114117527013924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0.17386952581512505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0.53347131022311178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0.053347131022311187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0.586818441245423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0.011076055906945992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0.011076055906945992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0.0055380279534729959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0.0083070419302094939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0.017998590848787237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0.013498943136590428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0.033228167720837976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0.031843660732469727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0.13256654413625985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72227.876666666678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93896.23966666669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Normal="100" workbookViewId="0">
      <selection activeCell="E6" sqref="E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5.710937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3172.5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3995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210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210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24537.5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16768.125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48">
        <f>N6+N9+N10+N11</f>
        <v>13414.5</v>
      </c>
      <c r="O18" s="648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48"/>
      <c r="O19" s="648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48"/>
      <c r="O20" s="648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48">
        <f>N18*1.2</f>
        <v>16097.4</v>
      </c>
      <c r="O22" s="648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48"/>
      <c r="O23" s="648"/>
      <c r="P23" s="367"/>
      <c r="R23" s="342"/>
      <c r="AG23" s="367"/>
    </row>
    <row r="24">
      <c r="A24" s="328"/>
      <c r="N24" s="648"/>
      <c r="O24" s="648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2</v>
      </c>
      <c r="B28" s="330">
        <v>70</v>
      </c>
      <c r="C28" s="805" t="s">
        <v>271</v>
      </c>
      <c r="D28" s="330">
        <f>Sheet2!B12/1000</f>
        <v>40</v>
      </c>
      <c r="E28" s="324">
        <f>Table12[[#This Row],[سعر]]*Table12[[#This Row],[ميزان]]*Table12[[#This Row],[عدد]]</f>
        <v>5600</v>
      </c>
      <c r="F28" s="323">
        <f>16*3.14*Table12[[#This Row],[عدد]]*0.05</f>
        <v>5.0240000000000009</v>
      </c>
      <c r="G28" s="323">
        <f>Table12[[#This Row],[ميزان]]*Table12[[#This Row],[عدد]]</f>
        <v>140</v>
      </c>
      <c r="U28" s="387"/>
    </row>
    <row r="29" ht="35.25" customHeight="1">
      <c r="A29" s="349">
        <f>IF((تسعير!T53="بالتات"),(تسعير!T47+1),0)</f>
        <v>0</v>
      </c>
      <c r="B29" s="330">
        <v>62</v>
      </c>
      <c r="C29" s="341" t="s">
        <v>272</v>
      </c>
      <c r="D29" s="330">
        <f>Sheet2!B12/1000</f>
        <v>40</v>
      </c>
      <c r="E29" s="324">
        <f>Table12[[#This Row],[سعر]]*Table12[[#This Row],[ميزان]]*Table12[[#This Row],[عدد]]</f>
        <v>0</v>
      </c>
      <c r="F29" s="350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3" t="s">
        <v>131</v>
      </c>
      <c r="M29" s="643"/>
      <c r="N29" s="643"/>
      <c r="O29" s="643"/>
      <c r="P29" s="643"/>
      <c r="Q29" s="643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40</v>
      </c>
      <c r="E30" s="324">
        <f>Table12[[#This Row],[سعر]]*Table12[[#This Row],[ميزان]]*Table12[[#This Row],[عدد]]</f>
        <v>2240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805" t="s">
        <v>275</v>
      </c>
      <c r="D31" s="330">
        <f>(Sheet2!B12/1000)+17</f>
        <v>57</v>
      </c>
      <c r="E31" s="324">
        <f>Table12[[#This Row],[سعر]]*Table12[[#This Row],[ميزان]]*Table12[[#This Row],[عدد]]</f>
        <v>2166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57</v>
      </c>
      <c r="E32" s="324">
        <f>Table12[[#This Row],[سعر]]*Table12[[#This Row],[ميزان]]*Table12[[#This Row],[عدد]]</f>
        <v>5244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3.4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3">
        <f>ROUND((F29+F30+F28+F48+F52)*0.4,1)</f>
        <v>3.4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3.4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748</v>
      </c>
      <c r="F38" s="323">
        <f>ROUND((Table12[[#This Row],[Column7]]*1.8),1)</f>
        <v>6.1</v>
      </c>
      <c r="G38" s="353">
        <f>ROUND((F29+F30+F28+F48+F52)*0.4,1)</f>
        <v>3.4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3.4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748</v>
      </c>
      <c r="F39" s="323">
        <f>ROUND((Table12[[#This Row],[Column7]]*1.8),1)</f>
        <v>6.1</v>
      </c>
      <c r="G39" s="353">
        <f>ROUND((F29+F30+F28+F48+F52)*0.4,1)</f>
        <v>3.4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7"/>
    </row>
    <row r="40" ht="35.25" customHeight="1">
      <c r="A40" s="351">
        <f>ROUND((F29+F30)*0.4/3,0)</f>
        <v>0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ROUND((F29+F30)*0.4,0)</f>
        <v>1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25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7"/>
    </row>
    <row r="42" ht="35.25" customHeight="1">
      <c r="A42" s="351">
        <f>ROUND((F29+F30)*0.4,0)</f>
        <v>1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25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7"/>
    </row>
    <row r="43" ht="35.25" customHeight="1">
      <c r="A43" s="351">
        <f>ROUND((F29+F30)*0.4,0)</f>
        <v>1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25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ROUND((F29+F30)*0.4,0)</f>
        <v>1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25</v>
      </c>
      <c r="I44" s="521"/>
      <c r="J44" s="522" t="s">
        <v>54</v>
      </c>
      <c r="K44" s="520"/>
      <c r="L44" s="520"/>
      <c r="M44" s="523"/>
      <c r="N44" s="523"/>
      <c r="O44" s="524">
        <f>SUBTOTAL(109,Table161243[Column12])</f>
        <v>4290</v>
      </c>
      <c r="P44" s="520"/>
      <c r="Q44" s="525"/>
      <c r="R44" s="526">
        <f>SUBTOTAL(109,Table161243[اجمالي])</f>
        <v>18845</v>
      </c>
      <c r="S44" s="527" t="e">
        <f>Table161243[[#Totals],[اجمالي]]/$G$84</f>
        <v>#DIV/0!</v>
      </c>
      <c r="U44" s="387"/>
    </row>
    <row r="45" ht="35.25" customHeight="1">
      <c r="A45" s="351">
        <f>ROUND((F29+F30)*0.4/3,0)</f>
        <v>0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2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2400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0</v>
      </c>
      <c r="B48" s="330">
        <v>30</v>
      </c>
      <c r="C48" s="341" t="s">
        <v>282</v>
      </c>
      <c r="D48" s="330">
        <f>Sheet2!B12/1000</f>
        <v>40</v>
      </c>
      <c r="E48" s="352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0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0</v>
      </c>
      <c r="J49" s="382" t="s">
        <v>285</v>
      </c>
      <c r="K49" s="214"/>
      <c r="L49" s="211"/>
      <c r="M49" s="290"/>
      <c r="N49" s="291">
        <f>Table12[[#Totals],[Column5]]+Table161243[[#Totals],[اجمالي]]</f>
        <v>47510</v>
      </c>
      <c r="U49" s="387"/>
    </row>
    <row r="50" ht="25.5" customHeight="1">
      <c r="A50" s="351">
        <f>A47*2</f>
        <v>4</v>
      </c>
      <c r="B50" s="330">
        <v>10</v>
      </c>
      <c r="C50" s="341" t="s">
        <v>286</v>
      </c>
      <c r="D50" s="330">
        <f>Sheet2!B12/1000</f>
        <v>40</v>
      </c>
      <c r="E50" s="352">
        <f>Table12[[#This Row],[سعر]]*Table12[[#This Row],[ميزان]]*Table12[[#This Row],[عدد]]</f>
        <v>1600</v>
      </c>
      <c r="J50" s="213" t="s">
        <v>152</v>
      </c>
      <c r="K50" s="214"/>
      <c r="L50" s="211"/>
      <c r="M50" s="290"/>
      <c r="N50" s="291">
        <f>N49+N48</f>
        <v>47510</v>
      </c>
      <c r="U50" s="387"/>
    </row>
    <row r="51" ht="25.5" customHeight="1">
      <c r="A51" s="351">
        <f>ROUND((F29+F30)*0.4/3,0)</f>
        <v>0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61763</v>
      </c>
      <c r="U51" s="387"/>
    </row>
    <row r="52" ht="25.5" customHeight="1">
      <c r="A52" s="351">
        <f>A48*4</f>
        <v>0</v>
      </c>
      <c r="B52" s="330">
        <v>1</v>
      </c>
      <c r="C52" s="341" t="s">
        <v>287</v>
      </c>
      <c r="D52" s="330">
        <f>Sheet2!B12/1000</f>
        <v>40</v>
      </c>
      <c r="E52" s="352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7"/>
    </row>
    <row r="53" ht="25.5" customHeight="1">
      <c r="A53" s="351">
        <f>ROUND((F29+F30)*0.4/3,0)</f>
        <v>0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0</v>
      </c>
      <c r="U53" s="387"/>
    </row>
    <row r="54">
      <c r="A54" s="354" t="s">
        <v>54</v>
      </c>
      <c r="E54" s="352">
        <f>SUBTOTAL(109,Table12[Column5])</f>
        <v>28665</v>
      </c>
      <c r="F54" s="355">
        <f>Table12[[#Totals],[Column5]]/(تسعير!T54*تسعير!T55/10000)</f>
        <v>1146.6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2</v>
      </c>
      <c r="B61" s="330">
        <v>78</v>
      </c>
      <c r="C61" s="341" t="s">
        <v>289</v>
      </c>
      <c r="D61" s="330">
        <f>Sheet2!$B$12/1000</f>
        <v>40</v>
      </c>
      <c r="E61" s="324">
        <f>Table1257[[#This Row],[سعر]]*Table1257[[#This Row],[ميزان]]*Table1257[[#This Row],[عدد]]</f>
        <v>6240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0">
        <f>IF((تسعير!T71="بالتات"),(تسعير!T65+1),0)</f>
        <v>0</v>
      </c>
      <c r="B62" s="330">
        <v>62</v>
      </c>
      <c r="C62" s="341" t="s">
        <v>272</v>
      </c>
      <c r="D62" s="330">
        <f>Sheet2!$B$12/1000</f>
        <v>40</v>
      </c>
      <c r="E62" s="324">
        <f>Table1257[[#This Row],[سعر]]*Table1257[[#This Row],[ميزان]]*Table1257[[#This Row],[عدد]]</f>
        <v>0</v>
      </c>
      <c r="F62" s="350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3" t="s">
        <v>131</v>
      </c>
      <c r="M62" s="643"/>
      <c r="N62" s="643"/>
      <c r="O62" s="643"/>
      <c r="P62" s="643"/>
      <c r="Q62" s="643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40</v>
      </c>
      <c r="E63" s="324">
        <f>Table1257[[#This Row],[سعر]]*Table1257[[#This Row],[ميزان]]*Table1257[[#This Row],[عدد]]</f>
        <v>2240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15</v>
      </c>
      <c r="C64" s="341" t="s">
        <v>290</v>
      </c>
      <c r="D64" s="330">
        <f>(Sheet2!B12/1000)+12</f>
        <v>52</v>
      </c>
      <c r="E64" s="324">
        <f>Table1257[[#This Row],[سعر]]*Table1257[[#This Row],[ميزان]]*Table1257[[#This Row],[عدد]]</f>
        <v>4680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291</v>
      </c>
      <c r="D65" s="330">
        <f>(Sheet2!B12/1000)+12</f>
        <v>52</v>
      </c>
      <c r="E65" s="324">
        <f>Table1257[[#This Row],[سعر]]*Table1257[[#This Row],[ميزان]]*Table1257[[#This Row],[عدد]]</f>
        <v>4784</v>
      </c>
      <c r="I65" s="212">
        <v>2</v>
      </c>
      <c r="J65" s="381" t="s">
        <v>139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324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3.4</v>
      </c>
      <c r="B71" s="330">
        <v>1</v>
      </c>
      <c r="C71" s="341" t="s">
        <v>111</v>
      </c>
      <c r="D71" s="330">
        <f>Sheet2!B27</f>
        <v>510</v>
      </c>
      <c r="E71" s="352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3">
        <f>ROUND((F62+F63+F61+F82+F86)*0.4,1)</f>
        <v>3.4</v>
      </c>
      <c r="I71" s="212">
        <v>0</v>
      </c>
      <c r="J71" s="381" t="s">
        <v>145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3.4</v>
      </c>
      <c r="B72" s="330">
        <v>1</v>
      </c>
      <c r="C72" s="341" t="s">
        <v>110</v>
      </c>
      <c r="D72" s="330">
        <f>Sheet2!B26</f>
        <v>220</v>
      </c>
      <c r="E72" s="352">
        <f>Table1257[[#This Row],[سعر]]*Table1257[[#This Row],[ميزان]]*Table1257[[#This Row],[عدد]]</f>
        <v>748</v>
      </c>
      <c r="F72" s="323">
        <f>ROUND((Table1257[[#This Row],[Column7]]*1.8),1)</f>
        <v>6.1</v>
      </c>
      <c r="G72" s="353">
        <f>ROUND((F62+F63+F61+F82+F86)*0.4,1)</f>
        <v>3.4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3.4</v>
      </c>
      <c r="B73" s="330">
        <v>1</v>
      </c>
      <c r="C73" s="341" t="s">
        <v>45</v>
      </c>
      <c r="D73" s="330">
        <f>Sheet2!B25</f>
        <v>95</v>
      </c>
      <c r="E73" s="352">
        <f>Table1257[[#This Row],[سعر]]*Table1257[[#This Row],[ميزان]]*Table1257[[#This Row],[عدد]]</f>
        <v>323</v>
      </c>
      <c r="F73" s="323">
        <f>ROUND((Table1257[[#This Row],[Column7]]*1.8),1)</f>
        <v>6.1</v>
      </c>
      <c r="G73" s="353">
        <f>ROUND((F62+F63+F61+F82+F86)*0.4,1)</f>
        <v>3.4</v>
      </c>
      <c r="I73" s="212">
        <f>((P68+P69+P70+P71)*2)-2</f>
        <v>10</v>
      </c>
      <c r="J73" s="381" t="s">
        <v>147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1">
        <f>ROUND((F62+F63)*0.4/3,0)</f>
        <v>0</v>
      </c>
      <c r="B74" s="330">
        <v>1</v>
      </c>
      <c r="C74" s="341" t="s">
        <v>107</v>
      </c>
      <c r="D74" s="330">
        <f>Sheet2!B24</f>
        <v>400</v>
      </c>
      <c r="E74" s="352">
        <f>Table1257[[#This Row],[سعر]]*Table1257[[#This Row],[ميزان]]*Table1257[[#This Row],[عدد]]</f>
        <v>0</v>
      </c>
      <c r="I74" s="212">
        <v>2</v>
      </c>
      <c r="J74" s="381" t="s">
        <v>148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1">
        <f>ROUND((F62+F63)*0.4,0)</f>
        <v>1</v>
      </c>
      <c r="B75" s="330">
        <v>1</v>
      </c>
      <c r="C75" s="341" t="s">
        <v>100</v>
      </c>
      <c r="D75" s="330">
        <f>Sheet2!B48</f>
        <v>25</v>
      </c>
      <c r="E75" s="352">
        <f>Table1257[[#This Row],[سعر]]*Table1257[[#This Row],[ميزان]]*Table1257[[#This Row],[عدد]]</f>
        <v>25</v>
      </c>
      <c r="I75" s="212">
        <v>2</v>
      </c>
      <c r="J75" s="381" t="s">
        <v>149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1">
        <f>ROUND((F62+F63)*0.4,0)</f>
        <v>1</v>
      </c>
      <c r="B76" s="330">
        <v>1</v>
      </c>
      <c r="C76" s="341" t="s">
        <v>102</v>
      </c>
      <c r="D76" s="330">
        <f>Sheet2!B48</f>
        <v>25</v>
      </c>
      <c r="E76" s="352">
        <f>Table1257[[#This Row],[سعر]]*Table1257[[#This Row],[ميزان]]*Table1257[[#This Row],[عدد]]</f>
        <v>25</v>
      </c>
      <c r="I76" s="212">
        <f>I73</f>
        <v>10</v>
      </c>
      <c r="J76" s="38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1">
        <f>ROUND((F62+F63)*0.4,0)</f>
        <v>1</v>
      </c>
      <c r="B77" s="330">
        <v>1</v>
      </c>
      <c r="C77" s="341" t="s">
        <v>103</v>
      </c>
      <c r="D77" s="330">
        <v>25</v>
      </c>
      <c r="E77" s="352">
        <f>Table1257[[#This Row],[سعر]]*Table1257[[#This Row],[ميزان]]*Table1257[[#This Row],[عدد]]</f>
        <v>25</v>
      </c>
      <c r="I77" s="521"/>
      <c r="J77" s="522" t="s">
        <v>54</v>
      </c>
      <c r="K77" s="520"/>
      <c r="L77" s="520"/>
      <c r="M77" s="523"/>
      <c r="N77" s="523"/>
      <c r="O77" s="524">
        <f>SUBTOTAL(109,Table16124360[Column12])</f>
        <v>4230</v>
      </c>
      <c r="P77" s="520"/>
      <c r="Q77" s="525"/>
      <c r="R77" s="526">
        <f>SUBTOTAL(109,Table16124360[اجمالي])</f>
        <v>25650</v>
      </c>
      <c r="S77" s="527" t="e">
        <f>Table16124360[[#Totals],[اجمالي]]/$G$84</f>
        <v>#DIV/0!</v>
      </c>
    </row>
    <row r="78" ht="18.75">
      <c r="A78" s="391">
        <f>ROUND((F62+F63)*0.4,0)</f>
        <v>1</v>
      </c>
      <c r="B78" s="330">
        <v>1</v>
      </c>
      <c r="C78" s="341" t="s">
        <v>105</v>
      </c>
      <c r="D78" s="330">
        <v>18</v>
      </c>
      <c r="E78" s="35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f>ROUND((F62+F63)*0.4/3,0)</f>
        <v>0</v>
      </c>
      <c r="B79" s="330">
        <v>1</v>
      </c>
      <c r="C79" s="341" t="s">
        <v>106</v>
      </c>
      <c r="D79" s="330">
        <v>40</v>
      </c>
      <c r="E79" s="352">
        <f>Table1257[[#This Row],[سعر]]*Table1257[[#This Row],[ميزان]]*Table1257[[#This Row],[عدد]]</f>
        <v>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2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2400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0</v>
      </c>
      <c r="B82" s="330">
        <v>30</v>
      </c>
      <c r="C82" s="341" t="s">
        <v>282</v>
      </c>
      <c r="D82" s="330">
        <f>Sheet2!B12/1000</f>
        <v>40</v>
      </c>
      <c r="E82" s="352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57662</v>
      </c>
    </row>
    <row r="83" ht="18.75">
      <c r="A83" s="391">
        <f>A82*2</f>
        <v>0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0</v>
      </c>
      <c r="J83" s="213" t="s">
        <v>152</v>
      </c>
      <c r="K83" s="214"/>
      <c r="L83" s="211"/>
      <c r="M83" s="290"/>
      <c r="N83" s="291">
        <f>N82+N81</f>
        <v>57662</v>
      </c>
    </row>
    <row r="84" ht="18.75">
      <c r="A84" s="391">
        <f>A81*1.5</f>
        <v>3</v>
      </c>
      <c r="B84" s="330">
        <v>10</v>
      </c>
      <c r="C84" s="341" t="s">
        <v>286</v>
      </c>
      <c r="D84" s="330">
        <f>Sheet2!B12/1000</f>
        <v>40</v>
      </c>
      <c r="E84" s="352">
        <f>Table1257[[#This Row],[سعر]]*Table1257[[#This Row],[ميزان]]*Table1257[[#This Row],[عدد]]</f>
        <v>1200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77843.700000000012</v>
      </c>
    </row>
    <row r="85" ht="18.75">
      <c r="A85" s="391">
        <f>ROUND((F62+F63)*0.4/3,0)</f>
        <v>0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0</v>
      </c>
    </row>
    <row r="86" ht="18.75">
      <c r="A86" s="391">
        <f>A82*4</f>
        <v>0</v>
      </c>
      <c r="B86" s="330">
        <v>1</v>
      </c>
      <c r="C86" s="341" t="s">
        <v>287</v>
      </c>
      <c r="D86" s="330">
        <f>Sheet2!B12/1000</f>
        <v>40</v>
      </c>
      <c r="E86" s="352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1">
        <f>ROUND((F62+F63)*0.4/3,0)</f>
        <v>0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0</v>
      </c>
    </row>
    <row r="88">
      <c r="A88" s="354" t="s">
        <v>54</v>
      </c>
      <c r="E88" s="352">
        <f>SUBTOTAL(109,Table1257[Column5])</f>
        <v>32012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292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293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37" t="s">
        <v>0</v>
      </c>
      <c r="BH1" s="638"/>
      <c r="BI1" s="639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295</v>
      </c>
      <c r="D2" s="551" t="s">
        <v>30</v>
      </c>
      <c r="E2" s="551" t="s">
        <v>296</v>
      </c>
      <c r="F2" s="551" t="s">
        <v>297</v>
      </c>
      <c r="G2" s="541"/>
      <c r="H2" s="552" t="s">
        <v>298</v>
      </c>
      <c r="I2" s="552"/>
      <c r="J2" s="552" t="s">
        <v>299</v>
      </c>
      <c r="L2" s="640"/>
      <c r="M2" s="641"/>
      <c r="N2" s="642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640"/>
      <c r="BH2" s="641"/>
      <c r="BI2" s="642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300</v>
      </c>
      <c r="B3" s="553">
        <f>ROUNDUP((12+((ROUNDUP((D1-210),15))/15)),0)</f>
        <v>32</v>
      </c>
      <c r="C3" s="554">
        <f>F1-16.5</f>
        <v>383.5</v>
      </c>
      <c r="D3" s="551" t="s">
        <v>301</v>
      </c>
      <c r="E3" s="551">
        <v>2.3</v>
      </c>
      <c r="F3" s="551">
        <f>IF(($H$1="سادة"),(J3*H3*E3*($U$2+(Sheet2!B41*1000))/1000),(J3*H3*E3*($U$2+(Sheet2!B15))/1000))</f>
        <v>79488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44" t="s">
        <v>17</v>
      </c>
      <c r="M3" s="645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46">
        <f>NOW()</f>
        <v>45725.385440532409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44" t="s">
        <v>17</v>
      </c>
      <c r="BH3" s="645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6">
        <f>NOW()</f>
        <v>45725.385440532409</v>
      </c>
      <c r="BN3" s="647"/>
      <c r="BO3" s="647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302</v>
      </c>
      <c r="B4" s="551">
        <v>2</v>
      </c>
      <c r="C4" s="553">
        <f>F1</f>
        <v>400</v>
      </c>
      <c r="D4" s="551" t="s">
        <v>301</v>
      </c>
      <c r="E4" s="551">
        <v>3.8</v>
      </c>
      <c r="F4" s="551">
        <f>IF(($H$1="سادة"),(J4*H4*E4*($U$2+(Sheet2!B41*1000))/1000),(J4*H4*E4*($U$2+(Sheet2!B15))/1000))</f>
        <v>10260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43" t="s">
        <v>20</v>
      </c>
      <c r="BK4" s="643"/>
      <c r="BL4" s="643"/>
      <c r="BM4" s="643"/>
      <c r="BN4" s="643"/>
      <c r="BO4" s="643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304</v>
      </c>
      <c r="B5" s="551">
        <v>2</v>
      </c>
      <c r="C5" s="553">
        <f>D1</f>
        <v>500</v>
      </c>
      <c r="D5" s="551" t="s">
        <v>301</v>
      </c>
      <c r="E5" s="551">
        <v>3.8</v>
      </c>
      <c r="F5" s="551">
        <f>IF(($H$1="سادة"),(J5*H5*E5*($U$2+(Sheet2!B41*1000))/1000),(J5*H5*E5*($U$2+(Sheet2!B15))/1000))</f>
        <v>10260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306</v>
      </c>
      <c r="B6" s="551">
        <v>2</v>
      </c>
      <c r="C6" s="553">
        <f>F1</f>
        <v>400</v>
      </c>
      <c r="D6" s="551" t="s">
        <v>301</v>
      </c>
      <c r="E6" s="551">
        <v>1.7</v>
      </c>
      <c r="F6" s="551">
        <f>IF(($H$1="سادة"),(J6*H6*E6*($U$2+(Sheet2!B41*1000))/1000),(J6*H6*E6*($U$2+(Sheet2!B15))/1000))</f>
        <v>4590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0.010015616454603559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0.010015616454603559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310</v>
      </c>
      <c r="B7" s="551">
        <v>2</v>
      </c>
      <c r="C7" s="553">
        <f>D1</f>
        <v>500</v>
      </c>
      <c r="D7" s="551" t="s">
        <v>301</v>
      </c>
      <c r="E7" s="551">
        <v>1.7</v>
      </c>
      <c r="F7" s="551">
        <f>IF(($H$1="سادة"),(J7*H7*E7*($U$2+(Sheet2!B41*1000))/1000),(J7*H7*E7*($U$2+(Sheet2!B15))/1000))</f>
        <v>4590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0.026005460268093451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0.026005460268093451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313</v>
      </c>
      <c r="B8" s="551">
        <v>2</v>
      </c>
      <c r="C8" s="551">
        <f>C3</f>
        <v>383.5</v>
      </c>
      <c r="D8" s="551" t="s">
        <v>301</v>
      </c>
      <c r="E8" s="551">
        <v>0.65</v>
      </c>
      <c r="F8" s="551">
        <f>IF(($H$1="سادة"),(J8*H8*E8*($U$2+(Sheet2!B41*1000))/1000),(J8*H8*E8*($U$2+(Sheet2!B15))/1000))</f>
        <v>1404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0.030925412210705727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0.030925412210705727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308</v>
      </c>
      <c r="B9" s="551">
        <v>2</v>
      </c>
      <c r="C9" s="551">
        <f>(15.6*(B3-1)+4)</f>
        <v>487.59999999999997</v>
      </c>
      <c r="D9" s="551" t="s">
        <v>301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312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315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0.066946488933402742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0.066946488933402742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316</v>
      </c>
      <c r="B12" s="551">
        <v>1</v>
      </c>
      <c r="C12" s="553">
        <v>100</v>
      </c>
      <c r="D12" s="551" t="s">
        <v>301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43" t="s">
        <v>72</v>
      </c>
      <c r="P12" s="643"/>
      <c r="Q12" s="643"/>
      <c r="R12" s="643"/>
      <c r="S12" s="643"/>
      <c r="T12" s="643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3" t="s">
        <v>72</v>
      </c>
      <c r="BK12" s="643"/>
      <c r="BL12" s="643"/>
      <c r="BM12" s="643"/>
      <c r="BN12" s="643"/>
      <c r="BO12" s="643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321</v>
      </c>
      <c r="B13" s="551"/>
      <c r="C13" s="551">
        <v>4</v>
      </c>
      <c r="D13" s="551" t="s">
        <v>322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323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0.0035142513875801962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4928.0825</v>
      </c>
      <c r="AX14" s="194"/>
      <c r="AY14" s="194"/>
      <c r="AZ14" s="194"/>
      <c r="BA14" s="194">
        <f>SUBTOTAL(109,Table8091[price])</f>
        <v>89601.5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0.0035142513875801962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319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0.000966419131584554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0.000966419131584554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320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0.000571065850481782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0.000571065850481782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324</v>
      </c>
      <c r="B17" s="551">
        <v>2</v>
      </c>
      <c r="C17" s="551"/>
      <c r="D17" s="551" t="s">
        <v>301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0.0035142513875801962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0.0035142513875801962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326</v>
      </c>
      <c r="B19" s="551"/>
      <c r="C19" s="551">
        <f>ROUNDUP(((C3*B3)/100),0)</f>
        <v>123</v>
      </c>
      <c r="D19" s="551" t="s">
        <v>301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0.0085659877572267281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0.0085659877572267281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327</v>
      </c>
      <c r="B20" s="551" t="s">
        <v>328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43" t="s">
        <v>95</v>
      </c>
      <c r="P20" s="643"/>
      <c r="Q20" s="643"/>
      <c r="R20" s="643"/>
      <c r="S20" s="643"/>
      <c r="T20" s="643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3" t="s">
        <v>95</v>
      </c>
      <c r="BK20" s="643"/>
      <c r="BL20" s="643"/>
      <c r="BM20" s="643"/>
      <c r="BN20" s="643"/>
      <c r="BO20" s="643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329</v>
      </c>
      <c r="B21" s="551" t="s">
        <v>330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331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0.0042171016650962359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0.0042171016650962359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0.0024599759713061376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0.0024599759713061376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8410.27</v>
      </c>
      <c r="C24" s="194"/>
      <c r="D24" s="194"/>
      <c r="E24" s="194"/>
      <c r="F24" s="194">
        <f>SUBTOTAL(109,Table80102114[price])</f>
        <v>152914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0.001054275416274059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0.001054275416274059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0.0077313530526764316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0.0077313530526764316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3" t="s">
        <v>99</v>
      </c>
      <c r="P26" s="643"/>
      <c r="Q26" s="643"/>
      <c r="R26" s="643"/>
      <c r="S26" s="643"/>
      <c r="T26" s="643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3" t="s">
        <v>99</v>
      </c>
      <c r="BK26" s="643"/>
      <c r="BL26" s="643"/>
      <c r="BM26" s="643"/>
      <c r="BN26" s="643"/>
      <c r="BO26" s="643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0.0045333842899784533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0.00032946106758564343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0.00023721196866166325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0.00032946106758564343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0.00023721196866166325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0.0001757125693790098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0.00010982035586188113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0.00065892213517128686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0.00065892213517128686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0.0003514251387580196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0.0003514251387580196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0.012563448710599202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0.0033385388182011863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0.0016692694091005932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0.017922682076659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0.031628262488221766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0.038217483839934632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0.0035142513875801962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0.0035142513875801962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0.080138110079531907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0.040203035873917443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3" t="s">
        <v>160</v>
      </c>
      <c r="BK44" s="643"/>
      <c r="BL44" s="643"/>
      <c r="BM44" s="643"/>
      <c r="BN44" s="643"/>
      <c r="BO44" s="643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3" t="s">
        <v>160</v>
      </c>
      <c r="P45" s="643"/>
      <c r="Q45" s="643"/>
      <c r="R45" s="643"/>
      <c r="S45" s="643"/>
      <c r="T45" s="643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89601.5</v>
      </c>
      <c r="BQ46" s="252">
        <f>BH46*Table1613687787[[#This Row],[سعر الشبك ]]</f>
        <v>89601.5</v>
      </c>
      <c r="BR46" s="241">
        <f>(BQ46)/$R$68</f>
        <v>0.39360274463033368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152914</v>
      </c>
      <c r="V47" s="252">
        <f>M47*Table16136877[[#This Row],[سعر الشبك ]]</f>
        <v>152914</v>
      </c>
      <c r="W47" s="241">
        <f>(V47)/$R$68</f>
        <v>0.67172279585054773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89601.5</v>
      </c>
      <c r="BQ47" s="240">
        <f>BH47*Table1613687787[[#This Row],[سعر الشبك ]]</f>
        <v>8960.15</v>
      </c>
      <c r="BR47" s="241">
        <f>(BQ47)/$R$68</f>
        <v>0.039360274463033369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152914</v>
      </c>
      <c r="V48" s="240">
        <f>M48*Table16136877[[#This Row],[سعر الشبك ]]</f>
        <v>38228.5</v>
      </c>
      <c r="W48" s="241">
        <f>(V48)/$R$68</f>
        <v>0.16793069896263693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98561.65</v>
      </c>
      <c r="BR48" s="244">
        <f>Table1613687787[[#Totals],[اجمالي]]/$R$68</f>
        <v>0.43296301909336704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191142.5</v>
      </c>
      <c r="W49" s="244">
        <f>Table16136877[[#Totals],[اجمالي]]/$R$68</f>
        <v>0.83965349481318463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3" t="s">
        <v>131</v>
      </c>
      <c r="BK49" s="643"/>
      <c r="BL49" s="643"/>
      <c r="BM49" s="643"/>
      <c r="BN49" s="643"/>
      <c r="BO49" s="643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3" t="s">
        <v>131</v>
      </c>
      <c r="P50" s="643"/>
      <c r="Q50" s="643"/>
      <c r="R50" s="643"/>
      <c r="S50" s="643"/>
      <c r="T50" s="643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0.0016253412667558407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0.0017571256937900981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0.0016253412667558407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0.0017571256937900981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0.0048760238002675226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0.0052713770813702949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0.010894179301498609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0.0070285027751603923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0.0081706344761239558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0.0052713770813702949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0.010894179301498609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0.0070285027751603923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0.011597029579014647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0.0098838320275693014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0.02020694547858613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0.0087856284689504915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0.003689963956959206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0.083463470455029665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0.036899639569592059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6"/>
      <c r="BK65" s="636"/>
      <c r="BL65" s="636"/>
      <c r="BM65" s="636"/>
      <c r="BN65" s="636"/>
      <c r="BO65" s="63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6"/>
      <c r="P66" s="636"/>
      <c r="Q66" s="636"/>
      <c r="R66" s="636"/>
      <c r="S66" s="636"/>
      <c r="T66" s="63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154754.65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227644.5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201181.045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341466.75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8" t="s">
        <v>0</v>
      </c>
      <c r="BH71" s="638"/>
      <c r="BI71" s="638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38" t="s">
        <v>0</v>
      </c>
      <c r="M72" s="638"/>
      <c r="N72" s="638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332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49"/>
      <c r="BH72" s="649"/>
      <c r="BI72" s="649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9"/>
      <c r="M73" s="649"/>
      <c r="N73" s="649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40000</v>
      </c>
      <c r="T73" s="303">
        <f>Sheet2!B13</f>
        <v>45000</v>
      </c>
      <c r="U73" s="303">
        <f>Sheet2!B14</f>
        <v>210000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651" t="s">
        <v>17</v>
      </c>
      <c r="BH73" s="651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47">
        <f>NOW()</f>
        <v>45725.38544071759</v>
      </c>
      <c r="BN73" s="647"/>
      <c r="BO73" s="647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292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293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0" t="s">
        <v>17</v>
      </c>
      <c r="M74" s="650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47">
        <f>NOW()</f>
        <v>45725.38544071759</v>
      </c>
      <c r="S74" s="647"/>
      <c r="T74" s="647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43" t="s">
        <v>20</v>
      </c>
      <c r="BK74" s="643"/>
      <c r="BL74" s="643"/>
      <c r="BM74" s="643"/>
      <c r="BN74" s="643"/>
      <c r="BO74" s="643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295</v>
      </c>
      <c r="D75" s="551" t="s">
        <v>30</v>
      </c>
      <c r="E75" s="551" t="s">
        <v>296</v>
      </c>
      <c r="F75" s="551" t="s">
        <v>297</v>
      </c>
      <c r="G75" s="541"/>
      <c r="H75" s="552" t="s">
        <v>298</v>
      </c>
      <c r="I75" s="552"/>
      <c r="J75" s="552" t="s">
        <v>299</v>
      </c>
      <c r="L75" s="208"/>
      <c r="M75" s="208"/>
      <c r="N75" s="209"/>
      <c r="O75" s="643" t="s">
        <v>20</v>
      </c>
      <c r="P75" s="643"/>
      <c r="Q75" s="643"/>
      <c r="R75" s="643"/>
      <c r="S75" s="643"/>
      <c r="T75" s="643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300</v>
      </c>
      <c r="B76" s="553">
        <f>ROUNDUP((12+((ROUNDUP((D74-210),15))/15)),0)</f>
        <v>16</v>
      </c>
      <c r="C76" s="554">
        <f>F74-16.5</f>
        <v>303.5</v>
      </c>
      <c r="D76" s="551" t="s">
        <v>301</v>
      </c>
      <c r="E76" s="551">
        <v>2.3</v>
      </c>
      <c r="F76" s="551">
        <f>IF(($H$74="سادة"),(J76*H76*E76*($U$73+(Sheet2!B41*1000))/1000),(J76*H76*E76*($U$73+(Sheet2!B15))/1000))</f>
        <v>34592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0.029519711655673648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302</v>
      </c>
      <c r="B77" s="551">
        <v>2</v>
      </c>
      <c r="C77" s="553">
        <f>F74</f>
        <v>320</v>
      </c>
      <c r="D77" s="551" t="s">
        <v>301</v>
      </c>
      <c r="E77" s="551">
        <v>3.8</v>
      </c>
      <c r="F77" s="551">
        <f>IF(($H$74="سادة"),(J77*H77*E77*($U$73+(Sheet2!B41*1000))/1000),(J77*H77*E77*($U$73+(Sheet2!B15))/1000))</f>
        <v>6250.9999999999991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0.059039423311347296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0.026005460268093451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304</v>
      </c>
      <c r="B78" s="551">
        <v>2</v>
      </c>
      <c r="C78" s="553">
        <f>D74</f>
        <v>270</v>
      </c>
      <c r="D78" s="551" t="s">
        <v>301</v>
      </c>
      <c r="E78" s="551">
        <v>3.8</v>
      </c>
      <c r="F78" s="551">
        <f>IF(($H$74="سادة"),(J78*H78*E78*($U$73+(Sheet2!B41*1000))/1000),(J78*H78*E78*($U$73+(Sheet2!B15))/1000))</f>
        <v>6250.9999999999991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0.01950409520107009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0.030925412210705727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306</v>
      </c>
      <c r="B79" s="551">
        <v>2</v>
      </c>
      <c r="C79" s="553">
        <f>F74</f>
        <v>320</v>
      </c>
      <c r="D79" s="551" t="s">
        <v>301</v>
      </c>
      <c r="E79" s="551">
        <v>1.7</v>
      </c>
      <c r="F79" s="551">
        <f>IF(($H$74="سادة"),(J79*H79*E79*($U$73+(Sheet2!B41*1000))/1000),(J79*H79*E79*($U$73+(Sheet2!B15))/1000))</f>
        <v>2796.5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0.023194059158029294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310</v>
      </c>
      <c r="B80" s="551">
        <v>2</v>
      </c>
      <c r="C80" s="553">
        <f>D74</f>
        <v>270</v>
      </c>
      <c r="D80" s="551" t="s">
        <v>301</v>
      </c>
      <c r="E80" s="551">
        <v>1.7</v>
      </c>
      <c r="F80" s="551">
        <f>IF(($H$74="سادة"),(J80*H80*E80*($U$73+(Sheet2!B41*1000))/1000),(J80*H80*E80*($U$73+(Sheet2!B15))/1000))</f>
        <v>2796.5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313</v>
      </c>
      <c r="B81" s="551">
        <v>2</v>
      </c>
      <c r="C81" s="551">
        <f>C76</f>
        <v>303.5</v>
      </c>
      <c r="D81" s="551" t="s">
        <v>301</v>
      </c>
      <c r="E81" s="551">
        <v>0.65</v>
      </c>
      <c r="F81" s="551">
        <f>IF(($H$74="سادة"),(J81*H81*E81*($U$73+(Sheet2!B41*1000))/1000),(J81*H81*E81*($U$73+(Sheet2!B15))/1000))</f>
        <v>1222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0.086450584134472833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308</v>
      </c>
      <c r="B82" s="551">
        <v>2</v>
      </c>
      <c r="C82" s="551">
        <f>(15.6*(B76-1)+4)</f>
        <v>238</v>
      </c>
      <c r="D82" s="551" t="s">
        <v>301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0.10173757767044668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3" t="s">
        <v>72</v>
      </c>
      <c r="BK82" s="643"/>
      <c r="BL82" s="643"/>
      <c r="BM82" s="643"/>
      <c r="BN82" s="643"/>
      <c r="BO82" s="643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312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43" t="s">
        <v>72</v>
      </c>
      <c r="P83" s="643"/>
      <c r="Q83" s="643"/>
      <c r="R83" s="643"/>
      <c r="S83" s="643"/>
      <c r="T83" s="643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315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0.0052713770813702949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316</v>
      </c>
      <c r="B85" s="551">
        <v>1</v>
      </c>
      <c r="C85" s="553">
        <v>100</v>
      </c>
      <c r="D85" s="551" t="s">
        <v>301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0.0035142513875801962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4928.0825</v>
      </c>
      <c r="AX85" s="310"/>
      <c r="AY85" s="310"/>
      <c r="AZ85" s="310"/>
      <c r="BA85" s="310">
        <f>SUBTOTAL(109,Table80102113[price])</f>
        <v>89601.5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0.000966419131584554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321</v>
      </c>
      <c r="B86" s="551"/>
      <c r="C86" s="551">
        <v>4</v>
      </c>
      <c r="D86" s="551" t="s">
        <v>322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0.000966419131584554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0.000571065850481782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323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0.000571065850481782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0.002108550832548118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319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320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0.02108550832548118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0.0089174128959847478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324</v>
      </c>
      <c r="B90" s="551">
        <v>2</v>
      </c>
      <c r="C90" s="551"/>
      <c r="D90" s="551" t="s">
        <v>301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0.026137244695127709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3" t="s">
        <v>95</v>
      </c>
      <c r="BK90" s="643"/>
      <c r="BL90" s="643"/>
      <c r="BM90" s="643"/>
      <c r="BN90" s="643"/>
      <c r="BO90" s="643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326</v>
      </c>
      <c r="B91" s="551"/>
      <c r="C91" s="551">
        <f>ROUNDUP(((C76*B76)/100),0)</f>
        <v>49</v>
      </c>
      <c r="D91" s="551" t="s">
        <v>301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43" t="s">
        <v>95</v>
      </c>
      <c r="P91" s="643"/>
      <c r="Q91" s="643"/>
      <c r="R91" s="643"/>
      <c r="S91" s="643"/>
      <c r="T91" s="643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49</v>
      </c>
      <c r="D92" s="551" t="s">
        <v>301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0.0084342033301924718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327</v>
      </c>
      <c r="B93" s="551" t="s">
        <v>328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329</v>
      </c>
      <c r="B94" s="551" t="s">
        <v>330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0.002108550832548118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331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0.01054275416274059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3" t="s">
        <v>99</v>
      </c>
      <c r="BK96" s="643"/>
      <c r="BL96" s="643"/>
      <c r="BM96" s="643"/>
      <c r="BN96" s="643"/>
      <c r="BO96" s="643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10651.793981481482</v>
      </c>
      <c r="C97" s="194"/>
      <c r="D97" s="194"/>
      <c r="E97" s="194"/>
      <c r="F97" s="194">
        <f>SUBTOTAL(109,Table80102114115[price])</f>
        <v>83665</v>
      </c>
      <c r="L97" s="216"/>
      <c r="M97" s="216"/>
      <c r="N97" s="217"/>
      <c r="O97" s="643" t="s">
        <v>99</v>
      </c>
      <c r="P97" s="643"/>
      <c r="Q97" s="643"/>
      <c r="R97" s="643"/>
      <c r="S97" s="643"/>
      <c r="T97" s="643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0.00023721196866166325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0.00032946106758564343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0.00023721196866166325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0.00032946106758564343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0.00010982035586188113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0.0001757125693790098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0.00065892213517128686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0.00065892213517128686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0.0003514251387580196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0.0003514251387580196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0.0016692694091005932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0.0016692694091005932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0.039535328110277206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0.047771854799918294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0.039535328110277206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0.0035142513875801962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0.047771854799918294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0.0035142513875801962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0.0035142513875801962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0.097599546661571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0.0943356856853559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3" t="s">
        <v>160</v>
      </c>
      <c r="BK115" s="643"/>
      <c r="BL115" s="643"/>
      <c r="BM115" s="643"/>
      <c r="BN115" s="643"/>
      <c r="BO115" s="643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3" t="s">
        <v>160</v>
      </c>
      <c r="P116" s="643"/>
      <c r="Q116" s="643"/>
      <c r="R116" s="643"/>
      <c r="S116" s="643"/>
      <c r="T116" s="643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89601.5</v>
      </c>
      <c r="BQ117" s="252">
        <f>BH117*Table1613687798109[[#This Row],[سعر الشبك ]]</f>
        <v>89601.5</v>
      </c>
      <c r="BR117" s="241">
        <f>(BQ117)/$R$68</f>
        <v>0.39360274463033368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83665</v>
      </c>
      <c r="V118" s="252">
        <f>M118*Table1613687798[[#This Row],[سعر الشبك ]]</f>
        <v>83665</v>
      </c>
      <c r="W118" s="241">
        <f>(V118)/$R$68</f>
        <v>0.36752480292737139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89601.5</v>
      </c>
      <c r="BQ118" s="240">
        <f>BH118*Table1613687798109[[#This Row],[سعر الشبك ]]</f>
        <v>8960.15</v>
      </c>
      <c r="BR118" s="241">
        <f>(BQ118)/$R$68</f>
        <v>0.039360274463033369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83665</v>
      </c>
      <c r="V119" s="240">
        <f>M119*Table1613687798[[#This Row],[سعر الشبك ]]</f>
        <v>8366.5</v>
      </c>
      <c r="W119" s="241">
        <f>(V119)/$R$68</f>
        <v>0.036752480292737137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98561.65</v>
      </c>
      <c r="BR119" s="244">
        <f>Table1613687798109[[#Totals],[اجمالي]]/$R$68</f>
        <v>0.43296301909336704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92031.5</v>
      </c>
      <c r="W120" s="244">
        <f>Table1613687798[[#Totals],[اجمالي]]/$R$68</f>
        <v>0.40427728322010853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3" t="s">
        <v>131</v>
      </c>
      <c r="BK120" s="643"/>
      <c r="BL120" s="643"/>
      <c r="BM120" s="643"/>
      <c r="BN120" s="643"/>
      <c r="BO120" s="643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3" t="s">
        <v>131</v>
      </c>
      <c r="P121" s="643"/>
      <c r="Q121" s="643"/>
      <c r="R121" s="643"/>
      <c r="S121" s="643"/>
      <c r="T121" s="643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0.0016253412667558407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0.0017571256937900981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0.0016253412667558407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0.0017571256937900981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0.0048760238002675226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0.0052713770813702949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0.010894179301498609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0.011421317009635638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0.0081706344761239558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0.0085659877572267281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0.010894179301498609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0.011421317009635638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0.011597029579014647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0.011597029579014647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0.0098838320275693014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0.0098838320275693014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0.02020694547858613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0.02020694547858613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0.003689963956959206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0.003689963956959206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0.083463470455029665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0.085572021287577779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6"/>
      <c r="BK136" s="636"/>
      <c r="BL136" s="636"/>
      <c r="BM136" s="636"/>
      <c r="BN136" s="636"/>
      <c r="BO136" s="63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6"/>
      <c r="P137" s="636"/>
      <c r="Q137" s="636"/>
      <c r="R137" s="636"/>
      <c r="S137" s="636"/>
      <c r="T137" s="63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163889.65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162096.5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213056.545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210725.45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1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Φωτισμου'!B9</f>
        <v>4</v>
      </c>
    </row>
    <row r="19" ht="18" customHeight="1">
      <c r="A19" s="666" t="s">
        <v>355</v>
      </c>
      <c r="B19" s="667"/>
      <c r="C19" s="14">
        <f>'Format Φωτισμου'!B12</f>
        <v>8</v>
      </c>
    </row>
    <row r="20" ht="18" customHeight="1">
      <c r="A20" s="666" t="s">
        <v>356</v>
      </c>
      <c r="B20" s="667"/>
      <c r="C20" s="14">
        <f>C19/C18</f>
        <v>2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5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2025-03-03T07:18:16Z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