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tanoia14\Downloads\"/>
    </mc:Choice>
  </mc:AlternateContent>
  <xr:revisionPtr revIDLastSave="0" documentId="13_ncr:1_{9DF5E013-D93D-44E3-AA91-541DE38F002C}" xr6:coauthVersionLast="47" xr6:coauthVersionMax="47" xr10:uidLastSave="{00000000-0000-0000-0000-000000000000}"/>
  <bookViews>
    <workbookView xWindow="-120" yWindow="-120" windowWidth="29040" windowHeight="15720" tabRatio="934" firstSheet="1" activeTab="2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<sst xmlns="http://schemas.openxmlformats.org/spreadsheetml/2006/main" count="800" uniqueCount="800">
  <si>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</si>
  <si>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</si>
  <si>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</si>
  <si>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</si>
  <si>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</si>
  <si>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</si>
  <si>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</si>
  <si>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</si>
  <si>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</si>
  <si>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</si>
  <si>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</si>
  <si>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</si>
  <si>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</si>
  <si>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</si>
  <si>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</si>
  <si>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</si>
  <si>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</si>
  <si>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</si>
  <si>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</si>
  <si>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</si>
  <si>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</si>
  <si>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</si>
  <si>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</si>
  <si>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</si>
  <si>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</si>
  <si>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</si>
  <si>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</si>
  <si>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</si>
  <si>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</si>
  <si>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</si>
  <si>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</si>
  <si>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</si>
  <si>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</si>
  <si>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</si>
  <si>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</si>
  <si>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</si>
  <si>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</si>
  <si>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</si>
  <si>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</si>
  <si>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</si>
  <si>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</si>
  <si>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</si>
  <si>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</si>
  <si>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</si>
  <si>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</si>
  <si>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</si>
  <si>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</si>
  <si>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</si>
  <si>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</si>
  <si>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</si>
  <si>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</si>
  <si>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</si>
  <si>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</si>
  <si>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</si>
  <si>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</si>
  <si>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</si>
  <si>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</si>
  <si>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</si>
  <si>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</si>
  <si>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</si>
  <si>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</si>
  <si>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</si>
  <si>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</si>
  <si>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</si>
  <si>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</si>
  <si>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</si>
  <si>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</si>
  <si>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</si>
  <si>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</si>
  <si>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</si>
  <si>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</si>
  <si>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</si>
  <si>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</si>
  <si>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</si>
  <si>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</si>
  <si>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</si>
  <si>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</si>
  <si>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</si>
  <si>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</si>
  <si>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</si>
  <si>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</si>
  <si>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</si>
  <si>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</si>
  <si>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</si>
  <si>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</si>
  <si>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</si>
  <si>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</si>
  <si>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</si>
  <si>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</si>
  <si>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</si>
  <si>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</si>
  <si>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</si>
  <si>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</si>
  <si>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</si>
  <si>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</si>
  <si>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</si>
  <si>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</si>
  <si>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</si>
  <si>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</si>
  <si>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</si>
  <si>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</si>
  <si>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</si>
  <si>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</si>
  <si>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</si>
  <si>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</si>
  <si>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</si>
  <si>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</si>
  <si>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</si>
  <si>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</si>
  <si>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</si>
  <si>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</si>
  <si>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</si>
  <si>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</si>
  <si>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</si>
  <si>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</si>
  <si>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</si>
  <si>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</si>
  <si>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</si>
  <si>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</si>
  <si>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</si>
  <si>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</si>
  <si>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</si>
  <si>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</si>
  <si>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</si>
  <si>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</si>
  <si>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</si>
  <si>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</si>
  <si>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</si>
  <si>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</si>
  <si>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</si>
  <si>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</si>
  <si>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</si>
  <si>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</si>
  <si>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</si>
  <si>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</si>
  <si>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</si>
  <si>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</si>
  <si>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</si>
  <si>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</si>
  <si>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</si>
  <si>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</si>
  <si>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</si>
  <si>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</si>
  <si>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</si>
  <si>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</si>
  <si>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</si>
  <si>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</si>
  <si>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</si>
  <si>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</si>
  <si>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</si>
  <si>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</si>
  <si>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</si>
  <si>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</si>
  <si>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</si>
  <si>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</si>
  <si>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</si>
  <si>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</si>
  <si>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</si>
  <si>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</si>
  <si>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</si>
  <si>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</si>
  <si>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</si>
  <si>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</si>
  <si>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</si>
  <si>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</si>
  <si>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</si>
  <si>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</si>
  <si>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</si>
  <si>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</si>
  <si>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</si>
  <si>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</si>
  <si>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</si>
  <si>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</si>
  <si>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</si>
  <si>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</si>
  <si>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</si>
  <si>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</si>
  <si>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</si>
  <si>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</si>
  <si>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</si>
  <si>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</si>
  <si>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</si>
  <si>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</si>
  <si>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</si>
  <si>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</si>
  <si>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</si>
  <si>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</si>
  <si>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</si>
  <si>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</si>
  <si>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</si>
  <si>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</si>
  <si>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</si>
  <si>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</si>
  <si>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</si>
  <si>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</si>
  <si>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</si>
  <si>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</si>
  <si>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</si>
  <si>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</si>
  <si>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</si>
  <si>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</si>
  <si>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</si>
  <si>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</si>
  <si>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</si>
  <si>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</si>
  <si>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</si>
  <si>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</si>
  <si>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</si>
  <si>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</si>
  <si>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</si>
  <si>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</si>
  <si>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</si>
  <si>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</si>
  <si>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</si>
  <si>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</si>
  <si>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</si>
  <si>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</si>
  <si>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</si>
  <si>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</si>
  <si>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</si>
  <si>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</si>
  <si>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</si>
  <si>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</si>
  <si>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</si>
  <si>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</si>
  <si>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</si>
  <si>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</si>
  <si>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</si>
  <si>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</si>
  <si>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</si>
  <si>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</si>
  <si>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</si>
  <si>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</si>
  <si>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</si>
  <si>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</si>
  <si>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</si>
  <si>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</si>
  <si>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</si>
  <si>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</si>
  <si>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</si>
  <si>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</si>
  <si>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</si>
  <si>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</si>
  <si>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</si>
  <si>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</si>
  <si>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</si>
  <si>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</si>
  <si>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</si>
  <si>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</si>
  <si>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</si>
  <si>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</si>
  <si>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</si>
  <si>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</si>
  <si>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</si>
  <si>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</si>
  <si>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</si>
  <si>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</si>
  <si>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</si>
  <si>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</si>
  <si>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</si>
  <si>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</si>
  <si>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</si>
  <si>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</si>
  <si>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</si>
  <si>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</si>
  <si>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</si>
  <si>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</si>
  <si>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</si>
  <si>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</si>
  <si>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</si>
  <si>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</si>
  <si>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</si>
  <si>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</si>
  <si>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</si>
  <si>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</si>
  <si>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</si>
  <si>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</si>
  <si>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</si>
  <si>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</si>
  <si>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</si>
  <si>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</si>
  <si>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</si>
  <si>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</si>
  <si>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</si>
  <si>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</si>
  <si>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</si>
  <si>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</si>
  <si>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</si>
  <si>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</si>
  <si>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</si>
  <si>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</si>
  <si>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</si>
  <si>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</si>
  <si>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</si>
  <si>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</si>
  <si>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</si>
  <si>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</si>
  <si>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</si>
  <si>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</si>
  <si>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</si>
  <si>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</si>
  <si>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</si>
  <si>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</si>
  <si>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</si>
  <si>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</si>
  <si>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</si>
  <si>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</si>
  <si>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</si>
  <si>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</si>
  <si>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</si>
  <si>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</si>
  <si>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</si>
  <si>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</si>
  <si>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</si>
  <si>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</si>
  <si>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</si>
  <si>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</si>
  <si>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</si>
  <si>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</si>
  <si>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</si>
  <si>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</si>
  <si>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</si>
  <si>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</si>
  <si>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</si>
  <si>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</si>
  <si>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</si>
  <si>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</si>
  <si>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</si>
  <si>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</si>
  <si>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</si>
  <si>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</si>
  <si>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</si>
  <si>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</si>
  <si>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</si>
  <si>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</si>
  <si>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</si>
  <si>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</si>
  <si>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</si>
  <si>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</si>
  <si>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</si>
  <si>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</si>
  <si>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</si>
  <si>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</si>
  <si>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</si>
  <si>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</si>
  <si>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</si>
  <si>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</si>
  <si>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</si>
  <si>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</si>
  <si>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</si>
  <si>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</si>
  <si>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</si>
  <si>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</si>
  <si>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</si>
  <si>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</si>
  <si>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</si>
  <si>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</si>
  <si>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</si>
  <si>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</si>
  <si>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</si>
  <si>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</si>
  <si>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</si>
  <si>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</si>
  <si>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</si>
  <si>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</si>
  <si>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</si>
  <si>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</si>
  <si>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</si>
  <si>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</si>
  <si>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</si>
  <si>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</si>
  <si>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</si>
  <si>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</si>
  <si>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</si>
  <si>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</si>
  <si>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</si>
  <si>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</si>
  <si>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</si>
  <si>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</si>
  <si>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</si>
  <si>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</si>
  <si>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</si>
  <si>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</si>
  <si>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</si>
  <si>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</si>
  <si>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</si>
  <si>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</si>
  <si>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</si>
  <si>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</si>
  <si>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</si>
  <si>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</si>
  <si>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</si>
  <si>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</si>
  <si>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</si>
  <si>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</si>
  <si>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</si>
  <si>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</si>
  <si>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</si>
  <si>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</si>
  <si>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</si>
  <si>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</si>
  <si>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</si>
  <si>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</si>
  <si>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</si>
  <si>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</si>
  <si>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</si>
  <si>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</si>
  <si>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</si>
  <si>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</si>
  <si>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</si>
  <si>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</si>
  <si>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</si>
  <si>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</si>
  <si>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</si>
  <si>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</si>
  <si>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</si>
  <si>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</si>
  <si>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</si>
  <si>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</si>
  <si>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</si>
  <si>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</si>
  <si>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</si>
  <si>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</si>
  <si>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</si>
  <si>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</si>
  <si>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</si>
  <si>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</si>
  <si>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</si>
  <si>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</si>
  <si>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</si>
  <si>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</si>
  <si>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</si>
  <si>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</si>
  <si>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</si>
  <si>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</si>
  <si>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</si>
  <si>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</si>
  <si>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</si>
  <si>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</si>
  <si>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</si>
  <si>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</si>
  <si>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</si>
  <si>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</si>
  <si>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</si>
  <si>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</si>
  <si>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</si>
  <si>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</si>
  <si>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</si>
  <si>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</si>
  <si>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</si>
  <si>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</si>
  <si>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</si>
  <si>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</si>
  <si>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</si>
  <si>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</si>
  <si>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</si>
  <si>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</si>
  <si>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</si>
  <si>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</si>
  <si>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</si>
  <si>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</si>
  <si>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</si>
  <si>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</si>
  <si>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</si>
  <si>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</si>
  <si>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</si>
  <si>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</si>
  <si>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</si>
  <si>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</si>
  <si>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</si>
  <si>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</si>
  <si>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</si>
  <si>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</si>
  <si>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</si>
  <si>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</si>
  <si>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</si>
  <si>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</si>
  <si>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</si>
  <si>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</si>
  <si>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</si>
  <si>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</si>
  <si>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</si>
  <si>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</si>
  <si>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</si>
  <si>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</si>
  <si>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</si>
  <si>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</si>
  <si>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</si>
  <si>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</si>
  <si>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</si>
  <si>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</si>
  <si>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</si>
  <si>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</si>
  <si>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</si>
  <si>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</si>
  <si>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</si>
  <si>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</si>
  <si>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</si>
  <si>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</si>
  <si>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</si>
  <si>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</si>
  <si>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</si>
  <si>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</si>
  <si>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</si>
  <si>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</si>
  <si>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</si>
  <si>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</si>
  <si>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</si>
  <si>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</si>
  <si>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</si>
  <si>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</si>
  <si>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</si>
  <si>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</si>
  <si>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</si>
  <si>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</si>
  <si>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</si>
  <si>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</si>
  <si>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</si>
  <si>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</si>
  <si>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</si>
  <si>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</si>
  <si>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</si>
  <si>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</si>
  <si>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</si>
  <si>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</si>
  <si>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</si>
  <si>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</si>
  <si>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</si>
  <si>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</si>
  <si>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</si>
  <si>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</si>
  <si>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</si>
  <si>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</si>
  <si>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</si>
  <si>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</si>
  <si>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</si>
  <si>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</si>
  <si>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</si>
  <si>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</si>
  <si>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</si>
  <si>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</si>
  <si>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</si>
  <si>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</si>
  <si>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</si>
  <si>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</si>
  <si>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</si>
  <si>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</si>
  <si>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</si>
  <si>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</si>
  <si>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</si>
  <si>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</si>
  <si>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</si>
  <si>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</si>
  <si>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</si>
  <si>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</si>
  <si>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</si>
  <si>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</si>
  <si>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</si>
  <si>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</si>
  <si>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</si>
  <si>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</si>
  <si>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</si>
  <si>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</si>
  <si>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</si>
  <si>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</si>
  <si>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</si>
  <si>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</si>
  <si>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</si>
  <si>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</si>
  <si>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</si>
  <si>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</si>
  <si>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</si>
  <si>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</si>
  <si>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</si>
  <si>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</si>
  <si>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</si>
  <si>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</si>
  <si>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</si>
  <si>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</si>
  <si>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</si>
  <si>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</si>
  <si>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</si>
  <si>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</si>
  <si>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</si>
  <si>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</si>
  <si>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</si>
  <si>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</si>
  <si>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</si>
  <si>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</si>
  <si>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</si>
  <si>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</si>
  <si>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</si>
  <si>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</si>
  <si>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</si>
  <si>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</si>
  <si>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</si>
  <si>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</si>
  <si>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</si>
  <si>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</si>
  <si>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</si>
  <si>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</si>
  <si>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</si>
  <si>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</si>
  <si>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</si>
  <si>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</si>
  <si>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</si>
  <si>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</si>
  <si>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</si>
  <si>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</si>
  <si>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</si>
  <si>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</si>
  <si>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</si>
  <si>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</si>
  <si>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</si>
  <si>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</si>
  <si>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</si>
  <si>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</si>
  <si>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</si>
  <si>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</si>
  <si>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</si>
  <si>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</si>
  <si>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</si>
  <si>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</si>
  <si>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</si>
  <si>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</si>
  <si>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</si>
  <si>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</si>
  <si>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</si>
  <si>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</si>
  <si>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</si>
  <si>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</si>
  <si>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</si>
  <si>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</si>
  <si>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</si>
  <si>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</si>
  <si>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</si>
  <si>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</si>
  <si>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</si>
  <si>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</si>
  <si>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</si>
  <si>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</si>
  <si>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</si>
  <si>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</si>
  <si>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</si>
  <si>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</si>
  <si>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</si>
  <si>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</si>
  <si>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</si>
  <si>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</si>
  <si>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</si>
  <si>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</si>
  <si>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</si>
  <si>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</si>
  <si>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</si>
  <si>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</si>
  <si>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</si>
  <si>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</si>
  <si>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</si>
  <si>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</si>
  <si>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</si>
  <si>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</si>
  <si>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</si>
  <si>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</si>
  <si>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</si>
  <si>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</si>
  <si>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</si>
  <si>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</si>
  <si>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</si>
  <si>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</si>
  <si>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</si>
  <si>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</si>
  <si>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</si>
  <si>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</si>
  <si>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</si>
  <si>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</si>
  <si>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</si>
  <si>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</si>
  <si>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</si>
  <si>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</si>
  <si>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</si>
  <si>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</si>
  <si>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</si>
  <si>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</si>
  <si>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</si>
  <si>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</si>
  <si>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</si>
  <si>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</si>
  <si>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</si>
  <si>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</si>
  <si>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</si>
  <si>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</si>
  <si>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</si>
  <si>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</si>
  <si>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</si>
  <si>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</si>
  <si>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</si>
  <si>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</si>
  <si>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</si>
  <si>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</si>
  <si>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</si>
  <si>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</si>
  <si>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</si>
  <si>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</si>
  <si>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</si>
  <si>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</si>
  <si>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</si>
  <si>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</si>
  <si>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</si>
  <si>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</si>
  <si>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</si>
  <si>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</si>
  <si>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</si>
  <si>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</si>
  <si>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</si>
  <si>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</si>
  <si>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</si>
  <si>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</si>
  <si>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</si>
  <si>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</si>
  <si>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</si>
  <si>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</si>
  <si>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</si>
  <si>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</si>
  <si>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</si>
  <si>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</si>
  <si>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</si>
  <si>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</si>
  <si>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</si>
  <si>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</si>
  <si>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</si>
  <si>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</si>
  <si>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</si>
  <si>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</si>
  <si>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</si>
  <si>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</si>
  <si>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</si>
  <si>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</si>
  <si>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>A</t>
  </si>
  <si>
    <t xml:space="preserve">حرف  U للخرشوفه الحديد  للكانتليفر</t>
  </si>
  <si>
    <t>استانلس 3مم</t>
  </si>
  <si>
    <t xml:space="preserve"> شداد  طول 42سم عرض 4سم </t>
  </si>
  <si>
    <t>B</t>
  </si>
  <si>
    <t>خرشوفه حديد مغلقه للكانتليفر</t>
  </si>
  <si>
    <t xml:space="preserve"> U صغير      </t>
  </si>
  <si>
    <t>C</t>
  </si>
  <si>
    <t>BEACH</t>
  </si>
  <si>
    <t>خرشوفه حديد مفتوحه للكانتليفر</t>
  </si>
  <si>
    <t>استانلس 4مم</t>
  </si>
  <si>
    <t xml:space="preserve">شيال </t>
  </si>
  <si>
    <t>D</t>
  </si>
  <si>
    <t>JUMBO</t>
  </si>
  <si>
    <t>طابه لريش الشمسيه الكانتليفر</t>
  </si>
  <si>
    <t>اليابانيه</t>
  </si>
  <si>
    <t>Uكبير</t>
  </si>
  <si>
    <t>E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</si>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</sst>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</font>
    <font>
      <sz val="14"/>
      <color theme="1"/>
      <name val="Calibri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52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90" applyFont="1" fillId="16" applyFill="1" borderId="0" xfId="0" applyProtection="1" applyAlignment="1">
      <alignment horizontal="center"/>
    </xf>
    <xf numFmtId="165" applyNumberFormat="1" fontId="77" applyFont="1" fillId="7" applyFill="1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6" applyFill="1" borderId="0" xfId="0" applyProtection="1" applyAlignment="1">
      <alignment horizont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0" fillId="16" applyFill="1" borderId="69" applyBorder="1" xfId="0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  <xf numFmtId="49" applyNumberFormat="1" fontId="85" applyFont="1" fillId="0" borderId="2" applyBorder="1" xfId="0" applyProtection="1" applyAlignment="1">
      <alignment horizontal="center" vertical="center"/>
    </xf>
    <xf numFmtId="49" applyNumberFormat="1" fontId="85" applyFont="1" fillId="0" borderId="0" xfId="0" applyProtection="1" applyAlignment="1">
      <alignment horizontal="center" vertical="center"/>
    </xf>
    <xf numFmtId="49" applyNumberFormat="1" fontId="0" fillId="0" borderId="0" xfId="0" applyProtection="1"/>
    <xf numFmtId="49" applyNumberFormat="1" fontId="1" applyFont="1" fillId="0" borderId="0" xfId="0" applyProtection="1"/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1</xdr:col>
          <xdr:colOff>1771650</xdr:colOff>
          <xdr:row>104</xdr:row>
          <xdr:rowOff>142875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19050</xdr:rowOff>
        </xdr:from>
        <xdr:to>
          <xdr:col>1</xdr:col>
          <xdr:colOff>1771650</xdr:colOff>
          <xdr:row>106</xdr:row>
          <xdr:rowOff>47625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19050</xdr:rowOff>
        </xdr:from>
        <xdr:to>
          <xdr:col>1</xdr:col>
          <xdr:colOff>1771650</xdr:colOff>
          <xdr:row>107</xdr:row>
          <xdr:rowOff>47625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9525</xdr:rowOff>
        </xdr:from>
        <xdr:to>
          <xdr:col>1</xdr:col>
          <xdr:colOff>1781175</xdr:colOff>
          <xdr:row>110</xdr:row>
          <xdr:rowOff>142875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9525</xdr:rowOff>
        </xdr:from>
        <xdr:to>
          <xdr:col>1</xdr:col>
          <xdr:colOff>1781175</xdr:colOff>
          <xdr:row>111</xdr:row>
          <xdr:rowOff>142875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19050</xdr:rowOff>
        </xdr:from>
        <xdr:to>
          <xdr:col>1</xdr:col>
          <xdr:colOff>1781175</xdr:colOff>
          <xdr:row>115</xdr:row>
          <xdr:rowOff>95250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19050</xdr:rowOff>
        </xdr:from>
        <xdr:to>
          <xdr:col>1</xdr:col>
          <xdr:colOff>1781175</xdr:colOff>
          <xdr:row>116</xdr:row>
          <xdr:rowOff>95250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1781175</xdr:colOff>
          <xdr:row>116</xdr:row>
          <xdr:rowOff>142875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19050</xdr:rowOff>
        </xdr:from>
        <xdr:to>
          <xdr:col>1</xdr:col>
          <xdr:colOff>1781175</xdr:colOff>
          <xdr:row>114</xdr:row>
          <xdr:rowOff>95250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19050</xdr:rowOff>
        </xdr:from>
        <xdr:to>
          <xdr:col>1</xdr:col>
          <xdr:colOff>1771650</xdr:colOff>
          <xdr:row>129</xdr:row>
          <xdr:rowOff>95250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9525</xdr:rowOff>
        </xdr:from>
        <xdr:to>
          <xdr:col>1</xdr:col>
          <xdr:colOff>1771650</xdr:colOff>
          <xdr:row>129</xdr:row>
          <xdr:rowOff>142875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9525</xdr:rowOff>
        </xdr:from>
        <xdr:to>
          <xdr:col>1</xdr:col>
          <xdr:colOff>1771650</xdr:colOff>
          <xdr:row>130</xdr:row>
          <xdr:rowOff>142875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9525</xdr:rowOff>
        </xdr:from>
        <xdr:to>
          <xdr:col>0</xdr:col>
          <xdr:colOff>581025</xdr:colOff>
          <xdr:row>104</xdr:row>
          <xdr:rowOff>142875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9525</xdr:rowOff>
        </xdr:from>
        <xdr:to>
          <xdr:col>1</xdr:col>
          <xdr:colOff>666750</xdr:colOff>
          <xdr:row>116</xdr:row>
          <xdr:rowOff>142875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19050</xdr:rowOff>
        </xdr:from>
        <xdr:to>
          <xdr:col>1</xdr:col>
          <xdr:colOff>666750</xdr:colOff>
          <xdr:row>118</xdr:row>
          <xdr:rowOff>95250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9525</xdr:rowOff>
        </xdr:from>
        <xdr:to>
          <xdr:col>1</xdr:col>
          <xdr:colOff>1771650</xdr:colOff>
          <xdr:row>131</xdr:row>
          <xdr:rowOff>142875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105</xdr:row>
          <xdr:rowOff>9525</xdr:rowOff>
        </xdr:from>
        <xdr:to>
          <xdr:col>5</xdr:col>
          <xdr:colOff>9525</xdr:colOff>
          <xdr:row>105</xdr:row>
          <xdr:rowOff>142875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106</xdr:row>
          <xdr:rowOff>19050</xdr:rowOff>
        </xdr:from>
        <xdr:to>
          <xdr:col>5</xdr:col>
          <xdr:colOff>9525</xdr:colOff>
          <xdr:row>107</xdr:row>
          <xdr:rowOff>47625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107</xdr:row>
          <xdr:rowOff>19050</xdr:rowOff>
        </xdr:from>
        <xdr:to>
          <xdr:col>5</xdr:col>
          <xdr:colOff>9525</xdr:colOff>
          <xdr:row>108</xdr:row>
          <xdr:rowOff>47625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9525</xdr:rowOff>
        </xdr:from>
        <xdr:to>
          <xdr:col>5</xdr:col>
          <xdr:colOff>9525</xdr:colOff>
          <xdr:row>111</xdr:row>
          <xdr:rowOff>142875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9525</xdr:rowOff>
        </xdr:from>
        <xdr:to>
          <xdr:col>5</xdr:col>
          <xdr:colOff>9525</xdr:colOff>
          <xdr:row>112</xdr:row>
          <xdr:rowOff>142875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19050</xdr:rowOff>
        </xdr:from>
        <xdr:to>
          <xdr:col>5</xdr:col>
          <xdr:colOff>9525</xdr:colOff>
          <xdr:row>116</xdr:row>
          <xdr:rowOff>95250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19050</xdr:rowOff>
        </xdr:from>
        <xdr:to>
          <xdr:col>5</xdr:col>
          <xdr:colOff>9525</xdr:colOff>
          <xdr:row>117</xdr:row>
          <xdr:rowOff>95250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9525</xdr:rowOff>
        </xdr:from>
        <xdr:to>
          <xdr:col>5</xdr:col>
          <xdr:colOff>9525</xdr:colOff>
          <xdr:row>117</xdr:row>
          <xdr:rowOff>142875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19050</xdr:rowOff>
        </xdr:from>
        <xdr:to>
          <xdr:col>5</xdr:col>
          <xdr:colOff>9525</xdr:colOff>
          <xdr:row>115</xdr:row>
          <xdr:rowOff>95250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129</xdr:row>
          <xdr:rowOff>19050</xdr:rowOff>
        </xdr:from>
        <xdr:to>
          <xdr:col>5</xdr:col>
          <xdr:colOff>9525</xdr:colOff>
          <xdr:row>130</xdr:row>
          <xdr:rowOff>95250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130</xdr:row>
          <xdr:rowOff>9525</xdr:rowOff>
        </xdr:from>
        <xdr:to>
          <xdr:col>5</xdr:col>
          <xdr:colOff>9525</xdr:colOff>
          <xdr:row>130</xdr:row>
          <xdr:rowOff>142875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131</xdr:row>
          <xdr:rowOff>9525</xdr:rowOff>
        </xdr:from>
        <xdr:to>
          <xdr:col>5</xdr:col>
          <xdr:colOff>9525</xdr:colOff>
          <xdr:row>131</xdr:row>
          <xdr:rowOff>142875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105</xdr:row>
          <xdr:rowOff>9525</xdr:rowOff>
        </xdr:from>
        <xdr:to>
          <xdr:col>8</xdr:col>
          <xdr:colOff>571500</xdr:colOff>
          <xdr:row>105</xdr:row>
          <xdr:rowOff>142875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9525</xdr:rowOff>
        </xdr:from>
        <xdr:to>
          <xdr:col>7</xdr:col>
          <xdr:colOff>657225</xdr:colOff>
          <xdr:row>117</xdr:row>
          <xdr:rowOff>142875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19050</xdr:rowOff>
        </xdr:from>
        <xdr:to>
          <xdr:col>7</xdr:col>
          <xdr:colOff>657225</xdr:colOff>
          <xdr:row>119</xdr:row>
          <xdr:rowOff>95250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132</xdr:row>
          <xdr:rowOff>9525</xdr:rowOff>
        </xdr:from>
        <xdr:to>
          <xdr:col>5</xdr:col>
          <xdr:colOff>9525</xdr:colOff>
          <xdr:row>132</xdr:row>
          <xdr:rowOff>142875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3" Type="http://schemas.openxmlformats.org/officeDocument/2006/relationships/externalLinkPath" Target="../../ingaz/Desktop/&#1578;&#1587;&#1593;&#1610;&#1585;%20&#1575;&#1604;&#1576;&#1585;&#1580;&#1608;&#1604;&#1575;&#1578;%20&#1575;&#1604;&#1575;&#1604;&#1608;&#1605;&#1606;&#1610;&#1608;&#1605;.xlsx" TargetMode="External"/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78"/>
    <tableColumn id="2" xr3:uid="{00000000-0010-0000-6300-000002000000}" name="عدد" dataDxfId="234" totalsRowDxfId="278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78"/>
    <tableColumn id="11" xr3:uid="{00000000-0010-0000-6300-00000B000000}" name="Column2" dataDxfId="237" totalsRowDxfId="278"/>
    <tableColumn id="10" xr3:uid="{00000000-0010-0000-6300-00000A000000}" name="Column1" dataDxfId="237" totalsRowDxfId="278"/>
    <tableColumn id="12" xr3:uid="{00000000-0010-0000-6300-00000C000000}" name="Column12" dataDxfId="237" totalsRowDxfId="278"/>
    <tableColumn id="4" xr3:uid="{00000000-0010-0000-6300-000004000000}" name="الوحده" totalsRowLabel="total" dataDxfId="237" totalsRowDxfId="278"/>
    <tableColumn id="5" xr3:uid="{00000000-0010-0000-6300-000005000000}" name="الوزن" dataDxfId="237" totalsRowDxfId="278"/>
    <tableColumn id="6" xr3:uid="{00000000-0010-0000-6300-000006000000}" name="سعر الكيلو" dataDxfId="237" totalsRowDxfId="278"/>
    <tableColumn id="7" xr3:uid="{00000000-0010-0000-6300-000007000000}" name="سعر الشبك " dataDxfId="306" totalsRowDxfId="276">
      <calculatedColumnFormula>BP28</calculatedColumnFormula>
    </tableColumn>
    <tableColumn id="8" xr3:uid="{00000000-0010-0000-6300-000008000000}" name="اجمالي" totalsRowFunction="sum" dataDxfId="230" totalsRowDxfId="274">
      <calculatedColumnFormula>BH98*BP99</calculatedColumnFormula>
    </tableColumn>
    <tableColumn id="9" xr3:uid="{00000000-0010-0000-6300-000009000000}" name="%" totalsRowFunction="custom" totalsRowDxfId="273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78"/>
    <tableColumn id="2" xr3:uid="{00000000-0010-0000-0500-000002000000}" name="عدد" dataDxfId="234" totalsRowDxfId="278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78"/>
    <tableColumn id="11" xr3:uid="{00000000-0010-0000-0500-00000B000000}" name="Column2" dataDxfId="237" totalsRowDxfId="278"/>
    <tableColumn id="10" xr3:uid="{00000000-0010-0000-0500-00000A000000}" name="Column1" dataDxfId="237" totalsRowDxfId="278"/>
    <tableColumn id="12" xr3:uid="{00000000-0010-0000-0500-00000C000000}" name="Column12" dataDxfId="237" totalsRowDxfId="278"/>
    <tableColumn id="4" xr3:uid="{00000000-0010-0000-0500-000004000000}" name="الوحده" totalsRowLabel="total" dataDxfId="237" totalsRowDxfId="278"/>
    <tableColumn id="5" xr3:uid="{00000000-0010-0000-0500-000005000000}" name="الوزن" dataDxfId="237" totalsRowDxfId="278"/>
    <tableColumn id="6" xr3:uid="{00000000-0010-0000-0500-000006000000}" name="سعر الكيلو" dataDxfId="237" totalsRowDxfId="278"/>
    <tableColumn id="7" xr3:uid="{00000000-0010-0000-0500-000007000000}" name="سعر الشبك " dataDxfId="306" totalsRowDxfId="276">
      <calculatedColumnFormula>Sheet2!B8</calculatedColumnFormula>
    </tableColumn>
    <tableColumn id="8" xr3:uid="{00000000-0010-0000-0500-000008000000}" name="اجمالي" totalsRowFunction="sum" dataDxfId="230" totalsRowDxfId="274">
      <calculatedColumnFormula>B35*J35</calculatedColumnFormula>
    </tableColumn>
    <tableColumn id="9" xr3:uid="{00000000-0010-0000-0500-000009000000}" name="%" totalsRowFunction="custom" totalsRowDxfId="273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تسعير!AH46</calculatedColumnFormula>
    </tableColumn>
    <tableColumn id="2" xr3:uid="{0CEFF7DA-9167-4759-90A5-641D43832BD8}" name="العرض" dataDxfId="180">
      <calculatedColumnFormula>تسعير!AI46</calculatedColumnFormula>
    </tableColumn>
    <tableColumn id="3" xr3:uid="{8920483F-B230-4954-B6EB-299A021EF592}" name="الامتداد" dataDxfId="180">
      <calculatedColumnFormula>تسعير!AJ46</calculatedColumnFormula>
    </tableColumn>
    <tableColumn id="4" xr3:uid="{07EB60AF-C006-4964-9A4B-3B79BB8020B0}" name="لون الشاسية" dataDxfId="180">
      <calculatedColumnFormula>تسعير!AK46</calculatedColumnFormula>
    </tableColumn>
    <tableColumn id="5" xr3:uid="{E7DFD066-5983-4486-B7BE-468171A981A3}" name="لون اللوفرز" dataDxfId="180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78"/>
    <tableColumn id="2" xr3:uid="{00000000-0010-0000-1800-000002000000}" name="عدد" dataDxfId="250" totalsRowDxfId="278"/>
    <tableColumn id="3" xr3:uid="{00000000-0010-0000-1800-000003000000}" name="بيان" totalsRowLabel="Total" dataDxfId="252" totalsRowDxfId="278"/>
    <tableColumn id="11" xr3:uid="{00000000-0010-0000-1800-00000B000000}" name="Column2" dataDxfId="252" totalsRowDxfId="278"/>
    <tableColumn id="10" xr3:uid="{00000000-0010-0000-1800-00000A000000}" name="Column1" dataDxfId="252" totalsRowDxfId="278"/>
    <tableColumn id="12" xr3:uid="{00000000-0010-0000-1800-00000C000000}" name="Column12" totalsRowFunction="sum" dataDxfId="267" totalsRowDxfId="93"/>
    <tableColumn id="4" xr3:uid="{00000000-0010-0000-1800-000004000000}" name="الوحده" dataDxfId="266" totalsRowDxfId="278"/>
    <tableColumn id="5" xr3:uid="{00000000-0010-0000-1800-000005000000}" name="الوزن" dataDxfId="252" totalsRowDxfId="278"/>
    <tableColumn id="6" xr3:uid="{00000000-0010-0000-1800-000006000000}" name="سعر الكيلو" dataDxfId="252" totalsRowDxfId="278"/>
    <tableColumn id="7" xr3:uid="{00000000-0010-0000-1800-000007000000}" name="سعر الشبك " dataDxfId="263" totalsRowDxfId="276"/>
    <tableColumn id="8" xr3:uid="{00000000-0010-0000-1800-000008000000}" name="اجمالي" totalsRowFunction="sum" dataDxfId="230" totalsRowDxfId="274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78"/>
    <tableColumn id="2" xr3:uid="{00000000-0010-0000-1C00-000002000000}" name="عدد" dataDxfId="234" totalsRowDxfId="278"/>
    <tableColumn id="3" xr3:uid="{00000000-0010-0000-1C00-000003000000}" name="بيان" totalsRowLabel="Total" dataDxfId="237" totalsRowDxfId="278"/>
    <tableColumn id="11" xr3:uid="{00000000-0010-0000-1C00-00000B000000}" name="Column2" dataDxfId="237" totalsRowDxfId="278"/>
    <tableColumn id="10" xr3:uid="{00000000-0010-0000-1C00-00000A000000}" name="Column1" dataDxfId="237" totalsRowDxfId="278"/>
    <tableColumn id="12" xr3:uid="{00000000-0010-0000-1C00-00000C000000}" name="Column12" dataDxfId="237" totalsRowDxfId="278"/>
    <tableColumn id="4" xr3:uid="{00000000-0010-0000-1C00-000004000000}" name="الوحده" totalsRowLabel="total" dataDxfId="237" totalsRowDxfId="278"/>
    <tableColumn id="5" xr3:uid="{00000000-0010-0000-1C00-000005000000}" name="الوزن" dataDxfId="237" totalsRowDxfId="278"/>
    <tableColumn id="6" xr3:uid="{00000000-0010-0000-1C00-000006000000}" name="سعر الكيلو" dataDxfId="237" totalsRowDxfId="278"/>
    <tableColumn id="7" xr3:uid="{00000000-0010-0000-1C00-000007000000}" name="سعر الشبك " dataDxfId="306" totalsRowDxfId="276">
      <calculatedColumnFormula>Sheet2!B2</calculatedColumnFormula>
    </tableColumn>
    <tableColumn id="8" xr3:uid="{00000000-0010-0000-1C00-000008000000}" name="اجمالي" totalsRowFunction="sum" dataDxfId="230" totalsRowDxfId="274">
      <calculatedColumnFormula>M26*U26</calculatedColumnFormula>
    </tableColumn>
    <tableColumn id="9" xr3:uid="{00000000-0010-0000-1C00-000009000000}" name="%" totalsRowFunction="custom" totalsRowDxfId="273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78"/>
    <tableColumn id="2" xr3:uid="{00000000-0010-0000-2700-000002000000}" name="عدد" dataDxfId="234" totalsRowDxfId="278"/>
    <tableColumn id="3" xr3:uid="{00000000-0010-0000-2700-000003000000}" name="بيان" totalsRowLabel="Total" dataDxfId="237" totalsRowDxfId="278"/>
    <tableColumn id="11" xr3:uid="{00000000-0010-0000-2700-00000B000000}" name="Column2" dataDxfId="237" totalsRowDxfId="278"/>
    <tableColumn id="10" xr3:uid="{00000000-0010-0000-2700-00000A000000}" name="Column1" dataDxfId="237" totalsRowDxfId="278"/>
    <tableColumn id="12" xr3:uid="{00000000-0010-0000-2700-00000C000000}" name="Column12" dataDxfId="237" totalsRowDxfId="278"/>
    <tableColumn id="4" xr3:uid="{00000000-0010-0000-2700-000004000000}" name="الوحده" totalsRowLabel="total" dataDxfId="237" totalsRowDxfId="278"/>
    <tableColumn id="5" xr3:uid="{00000000-0010-0000-2700-000005000000}" name="الوزن" dataDxfId="237" totalsRowDxfId="278"/>
    <tableColumn id="6" xr3:uid="{00000000-0010-0000-2700-000006000000}" name="سعر الكيلو" dataDxfId="237" totalsRowDxfId="278"/>
    <tableColumn id="7" xr3:uid="{00000000-0010-0000-2700-000007000000}" name="سعر الشبك " dataDxfId="306" totalsRowDxfId="276">
      <calculatedColumnFormula>Sheet2!B2</calculatedColumnFormula>
    </tableColumn>
    <tableColumn id="8" xr3:uid="{00000000-0010-0000-2700-000008000000}" name="اجمالي" totalsRowFunction="sum" dataDxfId="230" totalsRowDxfId="274">
      <calculatedColumnFormula>M26*U26</calculatedColumnFormula>
    </tableColumn>
    <tableColumn id="9" xr3:uid="{00000000-0010-0000-2700-000009000000}" name="%" totalsRowFunction="custom" totalsRowDxfId="273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14" dataDxfId="1608">
  <autoFilter ref="AH45:AL46" xr:uid="{F536301D-E310-4931-B653-AD9E1B7B09D3}"/>
  <tableColumns count="5">
    <tableColumn id="1" xr3:uid="{B66822DD-66EA-47D6-AC82-0B29ADD627D6}" name="المنتج" dataDxfId="1608"/>
    <tableColumn id="2" xr3:uid="{AE833311-1057-4EA5-AA4E-EE00ACCD3B4E}" name="العرض" dataDxfId="1608"/>
    <tableColumn id="3" xr3:uid="{31367D99-4075-4A3C-BDF9-E043012B0CE2}" name="الامتداد" dataDxfId="1608"/>
    <tableColumn id="4" xr3:uid="{9BAFA9A6-E27F-4459-96B4-2DA640D3F881}" name="لون الشاسية" dataDxfId="1608"/>
    <tableColumn id="5" xr3:uid="{6FCA19AB-1A7F-4808-8A43-2747203A7904}" name="لون  السيستم / اللوفرز" dataDxfId="1608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78"/>
    <tableColumn id="2" xr3:uid="{00000000-0010-0000-4400-000002000000}" name="عدد" dataDxfId="234" totalsRowDxfId="278"/>
    <tableColumn id="3" xr3:uid="{00000000-0010-0000-4400-000003000000}" name="بيان" totalsRowLabel="Total" dataDxfId="237" totalsRowDxfId="278"/>
    <tableColumn id="11" xr3:uid="{00000000-0010-0000-4400-00000B000000}" name="Column2" dataDxfId="237" totalsRowDxfId="278"/>
    <tableColumn id="10" xr3:uid="{00000000-0010-0000-4400-00000A000000}" name="Column1" dataDxfId="237" totalsRowDxfId="278"/>
    <tableColumn id="12" xr3:uid="{00000000-0010-0000-4400-00000C000000}" name="Column12" dataDxfId="237" totalsRowDxfId="278"/>
    <tableColumn id="4" xr3:uid="{00000000-0010-0000-4400-000004000000}" name="الوحده" totalsRowLabel="total" dataDxfId="237" totalsRowDxfId="278"/>
    <tableColumn id="5" xr3:uid="{00000000-0010-0000-4400-000005000000}" name="الوزن" dataDxfId="237" totalsRowDxfId="278"/>
    <tableColumn id="6" xr3:uid="{00000000-0010-0000-4400-000006000000}" name="سعر الكيلو" dataDxfId="237" totalsRowDxfId="278"/>
    <tableColumn id="7" xr3:uid="{00000000-0010-0000-4400-000007000000}" name="سعر الشبك " dataDxfId="306" totalsRowDxfId="276">
      <calculatedColumnFormula>Sheet2!B6</calculatedColumnFormula>
    </tableColumn>
    <tableColumn id="8" xr3:uid="{00000000-0010-0000-4400-000008000000}" name="اجمالي" totalsRowFunction="sum" dataDxfId="230" totalsRowDxfId="274">
      <calculatedColumnFormula>M28*U28</calculatedColumnFormula>
    </tableColumn>
    <tableColumn id="9" xr3:uid="{00000000-0010-0000-4400-000009000000}" name="%" totalsRowFunction="custom" totalsRowDxfId="273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78"/>
    <tableColumn id="2" xr3:uid="{00000000-0010-0000-4E00-000002000000}" name="عدد" dataDxfId="234" totalsRowDxfId="278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78"/>
    <tableColumn id="11" xr3:uid="{00000000-0010-0000-4E00-00000B000000}" name="Column2" dataDxfId="237" totalsRowDxfId="278"/>
    <tableColumn id="10" xr3:uid="{00000000-0010-0000-4E00-00000A000000}" name="Column1" dataDxfId="237" totalsRowDxfId="278"/>
    <tableColumn id="12" xr3:uid="{00000000-0010-0000-4E00-00000C000000}" name="Column12" dataDxfId="237" totalsRowDxfId="278"/>
    <tableColumn id="4" xr3:uid="{00000000-0010-0000-4E00-000004000000}" name="الوحده" totalsRowLabel="total" dataDxfId="237" totalsRowDxfId="278"/>
    <tableColumn id="5" xr3:uid="{00000000-0010-0000-4E00-000005000000}" name="الوزن" dataDxfId="237" totalsRowDxfId="278"/>
    <tableColumn id="6" xr3:uid="{00000000-0010-0000-4E00-000006000000}" name="سعر الكيلو" dataDxfId="237" totalsRowDxfId="278"/>
    <tableColumn id="7" xr3:uid="{00000000-0010-0000-4E00-000007000000}" name="سعر الشبك " dataDxfId="306" totalsRowDxfId="276">
      <calculatedColumnFormula>Sheet2!B6</calculatedColumnFormula>
    </tableColumn>
    <tableColumn id="8" xr3:uid="{00000000-0010-0000-4E00-000008000000}" name="اجمالي" totalsRowFunction="sum" dataDxfId="230" totalsRowDxfId="274">
      <calculatedColumnFormula>M99*U100</calculatedColumnFormula>
    </tableColumn>
    <tableColumn id="9" xr3:uid="{00000000-0010-0000-4E00-000009000000}" name="%" totalsRowFunction="custom" totalsRowDxfId="273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78"/>
    <tableColumn id="2" xr3:uid="{00000000-0010-0000-5800-000002000000}" name="عدد" dataDxfId="234" totalsRowDxfId="278"/>
    <tableColumn id="3" xr3:uid="{00000000-0010-0000-5800-000003000000}" name="بيان" totalsRowLabel="Total" dataDxfId="237" totalsRowDxfId="278"/>
    <tableColumn id="11" xr3:uid="{00000000-0010-0000-5800-00000B000000}" name="Column2" dataDxfId="237" totalsRowDxfId="278"/>
    <tableColumn id="10" xr3:uid="{00000000-0010-0000-5800-00000A000000}" name="Column1" dataDxfId="237" totalsRowDxfId="278"/>
    <tableColumn id="12" xr3:uid="{00000000-0010-0000-5800-00000C000000}" name="Column12" dataDxfId="237" totalsRowDxfId="278"/>
    <tableColumn id="4" xr3:uid="{00000000-0010-0000-5800-000004000000}" name="الوحده" totalsRowLabel="total" dataDxfId="237" totalsRowDxfId="278"/>
    <tableColumn id="5" xr3:uid="{00000000-0010-0000-5800-000005000000}" name="الوزن" dataDxfId="237" totalsRowDxfId="278"/>
    <tableColumn id="6" xr3:uid="{00000000-0010-0000-5800-000006000000}" name="سعر الكيلو" dataDxfId="237" totalsRowDxfId="278"/>
    <tableColumn id="7" xr3:uid="{00000000-0010-0000-5800-000007000000}" name="سعر الشبك " dataDxfId="306" totalsRowDxfId="276">
      <calculatedColumnFormula>Sheet2!AW6</calculatedColumnFormula>
    </tableColumn>
    <tableColumn id="8" xr3:uid="{00000000-0010-0000-5800-000008000000}" name="اجمالي" totalsRowFunction="sum" dataDxfId="230" totalsRowDxfId="274">
      <calculatedColumnFormula>BH28*BP28</calculatedColumnFormula>
    </tableColumn>
    <tableColumn id="9" xr3:uid="{00000000-0010-0000-5800-000009000000}" name="%" totalsRowFunction="custom" totalsRowDxfId="273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16" zoomScale="55" zoomScaleNormal="55" zoomScaleSheetLayoutView="70" workbookViewId="0">
      <selection activeCell="B3" sqref="B3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84" t="s">
        <v>611</v>
      </c>
      <c r="H1" s="884"/>
      <c r="I1" s="884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19773</v>
      </c>
      <c r="J3" s="504"/>
    </row>
    <row r="4" ht="21">
      <c r="A4" s="498"/>
      <c r="B4" s="499"/>
      <c r="C4" s="499"/>
      <c r="D4" s="500"/>
      <c r="E4" s="491"/>
      <c r="F4" s="495"/>
      <c r="G4" s="885" t="s">
        <v>618</v>
      </c>
      <c r="H4" s="885"/>
      <c r="I4" s="885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56344.25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86" t="s">
        <v>619</v>
      </c>
      <c r="B10" s="886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45000</v>
      </c>
    </row>
    <row r="13">
      <c r="A13" s="233" t="s">
        <v>621</v>
      </c>
      <c r="B13" s="233">
        <v>50000</v>
      </c>
    </row>
    <row r="14">
      <c r="A14" s="233" t="s">
        <v>238</v>
      </c>
      <c r="B14" s="233">
        <v>252000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.75">
      <c r="A42" s="545" t="s">
        <v>628</v>
      </c>
      <c r="B42" s="233">
        <v>750</v>
      </c>
    </row>
    <row r="43" ht="18.75">
      <c r="A43" s="545" t="s">
        <v>629</v>
      </c>
      <c r="B43" s="233">
        <v>130</v>
      </c>
    </row>
    <row r="44" ht="18.75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25" t="s">
        <v>336</v>
      </c>
      <c r="K1" s="925"/>
      <c r="L1" s="925"/>
      <c r="M1" s="925"/>
      <c r="N1" s="925"/>
      <c r="O1" s="925"/>
      <c r="P1" s="925"/>
      <c r="Q1" s="925"/>
      <c r="R1" s="925"/>
      <c r="S1" s="925"/>
    </row>
    <row r="2" ht="18" customHeight="1">
      <c r="A2" s="11" t="s">
        <v>337</v>
      </c>
      <c r="B2" s="918">
        <f>Royal!C3</f>
        <v>0</v>
      </c>
      <c r="C2" s="919"/>
      <c r="D2" s="919"/>
      <c r="E2" s="919"/>
      <c r="F2" s="920"/>
      <c r="G2" s="1">
        <v>1</v>
      </c>
      <c r="J2" s="925"/>
      <c r="K2" s="925"/>
      <c r="L2" s="925"/>
      <c r="M2" s="925"/>
      <c r="N2" s="925"/>
      <c r="O2" s="925"/>
      <c r="P2" s="925"/>
      <c r="Q2" s="925"/>
      <c r="R2" s="925"/>
      <c r="S2" s="925"/>
    </row>
    <row r="3" ht="18" customHeight="1">
      <c r="A3" s="11" t="s">
        <v>338</v>
      </c>
      <c r="F3" s="917" t="s">
        <v>339</v>
      </c>
      <c r="G3" s="917"/>
    </row>
    <row r="4" ht="18" customHeight="1">
      <c r="A4" s="11" t="s">
        <v>340</v>
      </c>
      <c r="F4" s="921" t="s">
        <v>341</v>
      </c>
      <c r="G4" s="922"/>
      <c r="H4" s="922"/>
      <c r="I4" s="923"/>
      <c r="J4" s="10"/>
    </row>
    <row r="5" ht="18" customHeight="1">
      <c r="A5" s="11" t="s">
        <v>342</v>
      </c>
      <c r="F5" s="924" t="s">
        <v>343</v>
      </c>
      <c r="G5" s="915"/>
      <c r="H5" s="915"/>
      <c r="I5" s="916"/>
      <c r="J5" s="10"/>
    </row>
    <row r="6" ht="18" customHeight="1">
      <c r="A6" s="11" t="s">
        <v>344</v>
      </c>
      <c r="Q6" s="909"/>
      <c r="R6" s="909"/>
      <c r="S6" s="909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4" t="s">
        <v>348</v>
      </c>
      <c r="C11" s="905"/>
      <c r="D11" s="915" t="s">
        <v>349</v>
      </c>
      <c r="E11" s="916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09"/>
      <c r="R15" s="909"/>
      <c r="S15" s="909"/>
    </row>
    <row r="16" ht="18" customHeight="1">
      <c r="C16" s="917" t="s">
        <v>353</v>
      </c>
      <c r="D16" s="917"/>
      <c r="E16" s="917"/>
      <c r="F16" s="1" t="s">
        <v>354</v>
      </c>
    </row>
    <row r="17" ht="18" customHeight="1">
      <c r="A17" s="917" t="s">
        <v>355</v>
      </c>
      <c r="B17" s="917"/>
      <c r="C17" s="917"/>
    </row>
    <row r="18" ht="18" customHeight="1">
      <c r="A18" s="906" t="s">
        <v>356</v>
      </c>
      <c r="B18" s="907"/>
      <c r="C18" s="14">
        <f>'Format Φωτισμου'!B9</f>
        <v>3</v>
      </c>
    </row>
    <row r="19" ht="18" customHeight="1">
      <c r="A19" s="906" t="s">
        <v>357</v>
      </c>
      <c r="B19" s="907"/>
      <c r="C19" s="14">
        <f>'Format Φωτισμου'!B12</f>
        <v>9</v>
      </c>
    </row>
    <row r="20" ht="18" customHeight="1">
      <c r="A20" s="906" t="s">
        <v>358</v>
      </c>
      <c r="B20" s="907"/>
      <c r="C20" s="14">
        <f>C19/C18</f>
        <v>3</v>
      </c>
    </row>
    <row r="21" ht="18" customHeight="1">
      <c r="A21" s="911" t="s">
        <v>359</v>
      </c>
      <c r="B21" s="912"/>
      <c r="C21" s="913">
        <v>20</v>
      </c>
      <c r="D21" s="914"/>
      <c r="E21" s="904" t="s">
        <v>360</v>
      </c>
      <c r="F21" s="905"/>
      <c r="G21" s="905"/>
      <c r="H21" s="14">
        <f>C21/C18</f>
        <v>6.666666666666667</v>
      </c>
      <c r="J21" s="910"/>
      <c r="K21" s="910"/>
      <c r="L21" s="910"/>
      <c r="M21" s="910"/>
      <c r="N21" s="910"/>
      <c r="O21" s="910"/>
      <c r="P21" s="910"/>
      <c r="Q21" s="910"/>
      <c r="R21" s="910"/>
      <c r="S21" s="910"/>
    </row>
    <row r="22" ht="18" customHeight="1">
      <c r="A22" s="906" t="s">
        <v>361</v>
      </c>
      <c r="B22" s="907"/>
      <c r="C22" s="179">
        <v>50</v>
      </c>
      <c r="D22" s="184" t="s">
        <v>362</v>
      </c>
      <c r="J22" s="910"/>
      <c r="K22" s="910"/>
      <c r="L22" s="910"/>
      <c r="M22" s="910"/>
      <c r="N22" s="910"/>
      <c r="O22" s="910"/>
      <c r="P22" s="910"/>
      <c r="Q22" s="910"/>
      <c r="R22" s="910"/>
      <c r="S22" s="910"/>
    </row>
    <row r="23" ht="18" customHeight="1">
      <c r="J23" s="910"/>
      <c r="K23" s="910"/>
      <c r="L23" s="910"/>
      <c r="M23" s="910"/>
      <c r="N23" s="910"/>
      <c r="O23" s="910"/>
      <c r="P23" s="910"/>
      <c r="Q23" s="910"/>
      <c r="R23" s="910"/>
      <c r="S23" s="910"/>
    </row>
    <row r="24" ht="18" customHeight="1"/>
    <row r="25" ht="18" customHeight="1">
      <c r="A25" s="11" t="s">
        <v>363</v>
      </c>
      <c r="J25" s="908"/>
      <c r="K25" s="908"/>
      <c r="L25" s="908"/>
      <c r="M25" s="908"/>
      <c r="N25" s="908"/>
      <c r="O25" s="908"/>
      <c r="P25" s="908"/>
      <c r="Q25" s="908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9"/>
      <c r="K27" s="909"/>
      <c r="L27" s="909"/>
      <c r="M27" s="909"/>
      <c r="N27" s="909"/>
      <c r="O27" s="909"/>
      <c r="P27" s="909"/>
      <c r="Q27" s="909"/>
      <c r="R27" s="909"/>
      <c r="S27" s="909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9.7109375" customWidth="1" style="59"/>
    <col min="16" max="16" width="5" customWidth="1" style="60"/>
    <col min="17" max="17" width="8.28515625" customWidth="1" style="60"/>
    <col min="18" max="18" width="4.7109375" customWidth="1" style="60"/>
    <col min="19" max="19" width="10.5703125" customWidth="1" style="60"/>
    <col min="20" max="20" width="16.5703125" customWidth="1" style="61"/>
    <col min="21" max="21" width="10" customWidth="1" style="60"/>
    <col min="22" max="22" width="13.5703125" customWidth="1" style="60"/>
    <col min="23" max="23" width="14" customWidth="1" style="60"/>
    <col min="24" max="24" width="15.8554687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1004" t="s">
        <v>368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6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9" t="s">
        <v>337</v>
      </c>
      <c r="B3" s="1019"/>
      <c r="C3" s="1019"/>
      <c r="D3" s="1021">
        <f>تسجيل1!B2</f>
        <v>0</v>
      </c>
      <c r="E3" s="1021"/>
      <c r="F3" s="1021"/>
      <c r="G3" s="1021"/>
      <c r="H3" s="1021"/>
      <c r="I3" s="1021"/>
      <c r="J3" s="1021"/>
      <c r="K3" s="1021"/>
      <c r="L3" s="1021"/>
      <c r="M3" s="1007" t="s">
        <v>371</v>
      </c>
      <c r="N3" s="1007"/>
      <c r="O3" s="89"/>
      <c r="P3" s="90"/>
      <c r="Q3" s="90"/>
      <c r="R3" s="90"/>
      <c r="Z3" s="151"/>
      <c r="AA3" s="60"/>
      <c r="AB3" s="60"/>
    </row>
    <row r="4" ht="13.5" customHeight="1">
      <c r="A4" s="1020"/>
      <c r="B4" s="1020"/>
      <c r="C4" s="1020"/>
      <c r="D4" s="1022"/>
      <c r="E4" s="1022"/>
      <c r="F4" s="1022"/>
      <c r="G4" s="1021"/>
      <c r="H4" s="1021"/>
      <c r="I4" s="1022"/>
      <c r="J4" s="1022"/>
      <c r="K4" s="1022"/>
      <c r="L4" s="1022"/>
      <c r="M4" s="1008"/>
      <c r="N4" s="1008"/>
      <c r="O4" s="91"/>
      <c r="P4" s="92"/>
      <c r="Q4" s="92"/>
      <c r="R4" s="92"/>
      <c r="Z4" s="151"/>
      <c r="AA4" s="60"/>
      <c r="AB4" s="60"/>
    </row>
    <row r="5" ht="13.5" customHeight="1">
      <c r="A5" s="1009" t="e">
        <f>Y1</f>
        <v>#REF!</v>
      </c>
      <c r="B5" s="1010"/>
      <c r="C5" s="1011"/>
      <c r="D5" s="1012" t="s">
        <v>370</v>
      </c>
      <c r="E5" s="1013"/>
      <c r="F5" s="1014"/>
      <c r="G5" s="63"/>
      <c r="H5" s="63"/>
      <c r="I5" s="1009">
        <f>W1</f>
        <v>272000</v>
      </c>
      <c r="J5" s="1010"/>
      <c r="K5" s="1011"/>
      <c r="L5" s="1012" t="s">
        <v>372</v>
      </c>
      <c r="M5" s="1013"/>
      <c r="N5" s="1014"/>
      <c r="O5" s="93"/>
      <c r="P5" s="92"/>
      <c r="Q5" s="92"/>
      <c r="R5" s="92"/>
      <c r="Z5" s="151"/>
      <c r="AA5" s="60"/>
      <c r="AB5" s="60"/>
    </row>
    <row r="6" ht="16.5" customHeight="1">
      <c r="A6" s="951" t="s">
        <v>373</v>
      </c>
      <c r="B6" s="952"/>
      <c r="C6" s="953"/>
      <c r="D6" s="945" t="s">
        <v>374</v>
      </c>
      <c r="E6" s="1015" t="s">
        <v>344</v>
      </c>
      <c r="F6" s="1016"/>
      <c r="G6" s="988"/>
      <c r="H6" s="988"/>
      <c r="I6" s="1016"/>
      <c r="J6" s="1017"/>
      <c r="K6" s="1018">
        <f>تسجيل1!C7</f>
        <v>400</v>
      </c>
      <c r="L6" s="1018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951"/>
      <c r="B7" s="952"/>
      <c r="C7" s="953"/>
      <c r="D7" s="945"/>
      <c r="E7" s="987" t="s">
        <v>376</v>
      </c>
      <c r="F7" s="988"/>
      <c r="G7" s="988"/>
      <c r="H7" s="988"/>
      <c r="I7" s="988"/>
      <c r="J7" s="989"/>
      <c r="K7" s="990">
        <f>K6*N6/10000</f>
        <v>16</v>
      </c>
      <c r="L7" s="990"/>
      <c r="M7" s="990"/>
      <c r="N7" s="98" t="s">
        <v>377</v>
      </c>
      <c r="O7" s="99">
        <f>AA41/K7</f>
        <v>2819.4486466796357</v>
      </c>
      <c r="S7" s="60" t="s">
        <v>127</v>
      </c>
      <c r="T7" s="61" t="s">
        <v>378</v>
      </c>
      <c r="Z7" s="151"/>
      <c r="AA7" s="60"/>
      <c r="AB7" s="60"/>
    </row>
    <row r="8">
      <c r="A8" s="954"/>
      <c r="B8" s="955"/>
      <c r="C8" s="956"/>
      <c r="D8" s="946"/>
      <c r="E8" s="991" t="s">
        <v>379</v>
      </c>
      <c r="F8" s="992"/>
      <c r="G8" s="992"/>
      <c r="H8" s="992"/>
      <c r="I8" s="992"/>
      <c r="J8" s="993"/>
      <c r="K8" s="994">
        <f>K6-1</f>
        <v>399</v>
      </c>
      <c r="L8" s="994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45111.178346874171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5" t="s">
        <v>381</v>
      </c>
      <c r="B10" s="995"/>
      <c r="C10" s="995"/>
      <c r="D10" s="995"/>
      <c r="E10" s="995"/>
      <c r="F10" s="995"/>
      <c r="G10" s="996" t="s">
        <v>324</v>
      </c>
      <c r="H10" s="996"/>
      <c r="I10" s="996" t="s">
        <v>382</v>
      </c>
      <c r="J10" s="996"/>
      <c r="K10" s="104"/>
      <c r="L10" s="997" t="s">
        <v>366</v>
      </c>
      <c r="M10" s="997"/>
      <c r="N10" s="997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8" t="s">
        <v>389</v>
      </c>
      <c r="B11" s="999"/>
      <c r="C11" s="999"/>
      <c r="D11" s="999"/>
      <c r="E11" s="999"/>
      <c r="F11" s="1000"/>
      <c r="G11" s="1001">
        <f>L11</f>
        <v>2</v>
      </c>
      <c r="H11" s="1001"/>
      <c r="I11" s="1002">
        <f>'Format διαστασης οδηγου'!F8</f>
        <v>365</v>
      </c>
      <c r="J11" s="1002"/>
      <c r="K11" s="106"/>
      <c r="L11" s="1003">
        <f>IF(تسعير!T10=Sheet2!A3,2,IF(Format!A7=1,تسجيل1!H27,IF(Format!A7=2,تسجيل1!H27,IF(Format!A7=3,تسجيل1!H27,IF(Format!A7=4,تسجيل1!H27,IF(Format!A7=5,تسجيل1!H27,"-------"))))))</f>
        <v>2</v>
      </c>
      <c r="M11" s="1003"/>
      <c r="N11" s="1003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9090.8051948052034</v>
      </c>
      <c r="Z11" s="151"/>
      <c r="AA11" s="60"/>
      <c r="AB11" s="60"/>
    </row>
    <row r="12" ht="20.1" customHeight="1">
      <c r="A12" s="975" t="s">
        <v>390</v>
      </c>
      <c r="B12" s="975"/>
      <c r="C12" s="975"/>
      <c r="D12" s="975"/>
      <c r="E12" s="975"/>
      <c r="F12" s="975"/>
      <c r="G12" s="976">
        <f>IF(L11&gt;2,4,IF(L11=2,2))</f>
        <v>2</v>
      </c>
      <c r="H12" s="976"/>
      <c r="I12" s="97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4055.6013289036496</v>
      </c>
      <c r="Z12" s="151"/>
      <c r="AA12" s="60"/>
      <c r="AB12" s="60"/>
    </row>
    <row r="13" ht="20.1" customHeight="1">
      <c r="A13" s="975" t="s">
        <v>391</v>
      </c>
      <c r="B13" s="975"/>
      <c r="C13" s="975"/>
      <c r="D13" s="975"/>
      <c r="E13" s="975"/>
      <c r="F13" s="975"/>
      <c r="G13" s="976" t="str">
        <f>IF(L11&lt;=3,"0",(L11-3)*2)</f>
        <v>0</v>
      </c>
      <c r="H13" s="976"/>
      <c r="I13" s="977">
        <f>IF(G13="-------","-------",L17-5)</f>
        <v>386</v>
      </c>
      <c r="J13" s="977"/>
      <c r="K13" s="106"/>
      <c r="L13" s="986" t="s">
        <v>392</v>
      </c>
      <c r="M13" s="986"/>
      <c r="N13" s="986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5" t="s">
        <v>393</v>
      </c>
      <c r="B14" s="975"/>
      <c r="C14" s="975"/>
      <c r="D14" s="975"/>
      <c r="E14" s="975"/>
      <c r="F14" s="975"/>
      <c r="G14" s="976">
        <f>IF(L11&gt;2,2*L14,IF(L11=2,L14))</f>
        <v>5</v>
      </c>
      <c r="H14" s="976"/>
      <c r="I14" s="977">
        <f>I12</f>
        <v>399</v>
      </c>
      <c r="J14" s="977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5721.3793103448024</v>
      </c>
      <c r="Z14" s="151"/>
      <c r="AA14" s="60"/>
      <c r="AB14" s="60"/>
    </row>
    <row r="15" ht="20.1" customHeight="1">
      <c r="A15" s="975" t="s">
        <v>395</v>
      </c>
      <c r="B15" s="975"/>
      <c r="C15" s="975"/>
      <c r="D15" s="975"/>
      <c r="E15" s="975"/>
      <c r="F15" s="975"/>
      <c r="G15" s="976" t="str">
        <f>IF(L11&lt;=3,"0",(L11-3)*L14)</f>
        <v>0</v>
      </c>
      <c r="H15" s="976"/>
      <c r="I15" s="977">
        <f>IF(G15="-------","---------",I13)</f>
        <v>386</v>
      </c>
      <c r="J15" s="97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5" t="s">
        <v>396</v>
      </c>
      <c r="B16" s="975"/>
      <c r="C16" s="975"/>
      <c r="D16" s="975"/>
      <c r="E16" s="975"/>
      <c r="F16" s="975"/>
      <c r="G16" s="976">
        <v>1</v>
      </c>
      <c r="H16" s="976"/>
      <c r="I16" s="97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7"/>
      <c r="K16" s="106"/>
      <c r="L16" s="970" t="s">
        <v>397</v>
      </c>
      <c r="M16" s="970"/>
      <c r="N16" s="970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1517.6205128205183</v>
      </c>
      <c r="Z16" s="151"/>
      <c r="AA16" s="60"/>
      <c r="AB16" s="60"/>
    </row>
    <row r="17" ht="20.1" customHeight="1">
      <c r="A17" s="975" t="s">
        <v>398</v>
      </c>
      <c r="B17" s="975"/>
      <c r="C17" s="975"/>
      <c r="D17" s="975"/>
      <c r="E17" s="975"/>
      <c r="F17" s="975"/>
      <c r="G17" s="976" t="str">
        <f>IF(L11=2,"0",1)</f>
        <v>0</v>
      </c>
      <c r="H17" s="976"/>
      <c r="I17" s="977">
        <f>IF(G17="-------","-------",IF(Format!A7=1,(L17+3),IF(Format!A7=2,(L17+3.5),IF(Format!A7=3,(L17+3),IF(Format!A7=4,(L17+4.25),IF(Format!A7=5,(L17+5),"--------"))))))</f>
        <v>394.5</v>
      </c>
      <c r="J17" s="977"/>
      <c r="K17" s="106"/>
      <c r="L17" s="985">
        <f>IF(Format!A7=1,(K6-2-6)/(L11-1),IF(Format!A7=2,(K6-2-7)/(L11-1),IF(Format!A7=3,(K6-2-6)/(L11-1),IF(Format!A7=4,(K6-2-8.5)/(L11-1),IF(Format!A7=5,(K6-2-10)/(L11-1),"--------")))))</f>
        <v>391</v>
      </c>
      <c r="M17" s="985"/>
      <c r="N17" s="985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5" t="s">
        <v>399</v>
      </c>
      <c r="B18" s="975"/>
      <c r="C18" s="975"/>
      <c r="D18" s="975"/>
      <c r="E18" s="975"/>
      <c r="F18" s="975"/>
      <c r="G18" s="976" t="str">
        <f>IF(L11&lt;=3,"0",(L11-3))</f>
        <v>0</v>
      </c>
      <c r="H18" s="976"/>
      <c r="I18" s="977">
        <f>IF(G18="-------","-------",L17)</f>
        <v>391</v>
      </c>
      <c r="J18" s="97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5" t="str">
        <f>IF(Format!H4=1,"Balloon","-------")</f>
        <v>-------</v>
      </c>
      <c r="B19" s="975"/>
      <c r="C19" s="975"/>
      <c r="D19" s="975"/>
      <c r="E19" s="975"/>
      <c r="F19" s="975"/>
      <c r="G19" s="976" t="str">
        <f>IF([1]Format!H4=1,'[1]تقطيع البرجولة'!L14,"0")</f>
        <v>0</v>
      </c>
      <c r="H19" s="976"/>
      <c r="I19" s="977">
        <f>IF(G19="-------","-------",K6-2.5)</f>
        <v>397.5</v>
      </c>
      <c r="J19" s="977"/>
      <c r="K19" s="106"/>
      <c r="L19" s="978" t="s">
        <v>347</v>
      </c>
      <c r="M19" s="979"/>
      <c r="N19" s="980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1" t="s">
        <v>400</v>
      </c>
      <c r="B20" s="982"/>
      <c r="C20" s="982"/>
      <c r="D20" s="982"/>
      <c r="E20" s="982"/>
      <c r="F20" s="983"/>
      <c r="G20" s="981">
        <f>IF(تسعير!T10=Sheet2!A3,0,(G12+G13)/2)</f>
        <v>1</v>
      </c>
      <c r="H20" s="982"/>
      <c r="I20" s="977">
        <f>L17-7</f>
        <v>384</v>
      </c>
      <c r="J20" s="977"/>
      <c r="K20" s="106"/>
      <c r="L20" s="114" t="s">
        <v>324</v>
      </c>
      <c r="M20" s="984" t="s">
        <v>401</v>
      </c>
      <c r="N20" s="984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1795.1999999999998</v>
      </c>
      <c r="Z20" s="151"/>
      <c r="AA20" s="60"/>
      <c r="AB20" s="60"/>
    </row>
    <row r="21" ht="20.1" customHeight="1">
      <c r="A21" s="967" t="s">
        <v>402</v>
      </c>
      <c r="B21" s="967"/>
      <c r="C21" s="967"/>
      <c r="D21" s="967"/>
      <c r="E21" s="967"/>
      <c r="F21" s="967"/>
      <c r="G21" s="968">
        <f>L11</f>
        <v>2</v>
      </c>
      <c r="H21" s="968"/>
      <c r="I21" s="969">
        <f>(I11*2)+45</f>
        <v>775</v>
      </c>
      <c r="J21" s="969"/>
      <c r="K21" s="106"/>
      <c r="L21" s="112">
        <f>IF(Format!E7=1,"-------",IF(Format!E7=5,"-------",تسجيل1!H30))</f>
        <v>2</v>
      </c>
      <c r="M21" s="970" t="str">
        <f>IF(L21="-------","-------",تسجيل1!D11)</f>
        <v>4Χ220- 1Χ250</v>
      </c>
      <c r="N21" s="970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71" t="s">
        <v>403</v>
      </c>
      <c r="B23" s="972"/>
      <c r="C23" s="972"/>
      <c r="D23" s="972"/>
      <c r="E23" s="973"/>
      <c r="F23" s="67" t="s">
        <v>404</v>
      </c>
      <c r="G23" s="68"/>
      <c r="H23" s="971" t="s">
        <v>405</v>
      </c>
      <c r="I23" s="972"/>
      <c r="J23" s="972"/>
      <c r="K23" s="972"/>
      <c r="L23" s="973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4" t="s">
        <v>410</v>
      </c>
      <c r="C24" s="974"/>
      <c r="D24" s="974"/>
      <c r="E24" s="974"/>
      <c r="F24" s="70">
        <f>L11</f>
        <v>2</v>
      </c>
      <c r="G24" s="71"/>
      <c r="H24" s="69">
        <v>16</v>
      </c>
      <c r="I24" s="974" t="s">
        <v>352</v>
      </c>
      <c r="J24" s="974"/>
      <c r="K24" s="974"/>
      <c r="L24" s="974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0" t="s">
        <v>411</v>
      </c>
      <c r="C25" s="960"/>
      <c r="D25" s="960"/>
      <c r="E25" s="960"/>
      <c r="F25" s="73">
        <f>L11</f>
        <v>2</v>
      </c>
      <c r="G25" s="71"/>
      <c r="H25" s="72">
        <v>17</v>
      </c>
      <c r="I25" s="960" t="s">
        <v>412</v>
      </c>
      <c r="J25" s="960"/>
      <c r="K25" s="960"/>
      <c r="L25" s="960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0" t="s">
        <v>413</v>
      </c>
      <c r="C26" s="960"/>
      <c r="D26" s="960"/>
      <c r="E26" s="960"/>
      <c r="F26" s="73">
        <f>M24</f>
        <v>1</v>
      </c>
      <c r="G26" s="71"/>
      <c r="H26" s="72">
        <v>18</v>
      </c>
      <c r="I26" s="960" t="s">
        <v>414</v>
      </c>
      <c r="J26" s="960"/>
      <c r="K26" s="960"/>
      <c r="L26" s="960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7" t="s">
        <v>415</v>
      </c>
      <c r="C27" s="958"/>
      <c r="D27" s="958"/>
      <c r="E27" s="959"/>
      <c r="F27" s="73">
        <v>4</v>
      </c>
      <c r="G27" s="71"/>
      <c r="H27" s="72">
        <v>19</v>
      </c>
      <c r="I27" s="960" t="s">
        <v>416</v>
      </c>
      <c r="J27" s="960"/>
      <c r="K27" s="960"/>
      <c r="L27" s="960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7" t="s">
        <v>417</v>
      </c>
      <c r="C28" s="958"/>
      <c r="D28" s="958"/>
      <c r="E28" s="959"/>
      <c r="F28" s="73">
        <f>L14</f>
        <v>5</v>
      </c>
      <c r="G28" s="71"/>
      <c r="H28" s="72">
        <v>20</v>
      </c>
      <c r="I28" s="960" t="s">
        <v>418</v>
      </c>
      <c r="J28" s="960"/>
      <c r="K28" s="960"/>
      <c r="L28" s="960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7" t="s">
        <v>419</v>
      </c>
      <c r="C29" s="958"/>
      <c r="D29" s="958"/>
      <c r="E29" s="959"/>
      <c r="F29" s="73">
        <f>L11*2</f>
        <v>4</v>
      </c>
      <c r="G29" s="71"/>
      <c r="H29" s="72">
        <v>21</v>
      </c>
      <c r="I29" s="960" t="s">
        <v>420</v>
      </c>
      <c r="J29" s="960"/>
      <c r="K29" s="960"/>
      <c r="L29" s="960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7" t="s">
        <v>421</v>
      </c>
      <c r="C30" s="958"/>
      <c r="D30" s="958"/>
      <c r="E30" s="959"/>
      <c r="F30" s="73">
        <f>L14*L11</f>
        <v>10</v>
      </c>
      <c r="G30" s="71"/>
      <c r="H30" s="72">
        <v>22</v>
      </c>
      <c r="I30" s="960" t="s">
        <v>422</v>
      </c>
      <c r="J30" s="960"/>
      <c r="K30" s="960"/>
      <c r="L30" s="960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7" t="s">
        <v>423</v>
      </c>
      <c r="C31" s="958"/>
      <c r="D31" s="958"/>
      <c r="E31" s="959"/>
      <c r="F31" s="73">
        <f>(L14+N14)*2</f>
        <v>14</v>
      </c>
      <c r="G31" s="71"/>
      <c r="H31" s="72">
        <v>23</v>
      </c>
      <c r="I31" s="960" t="s">
        <v>424</v>
      </c>
      <c r="J31" s="960"/>
      <c r="K31" s="960"/>
      <c r="L31" s="960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7" t="s">
        <v>425</v>
      </c>
      <c r="C32" s="958"/>
      <c r="D32" s="958"/>
      <c r="E32" s="959"/>
      <c r="F32" s="73">
        <f>(L14+N14)*2</f>
        <v>14</v>
      </c>
      <c r="G32" s="71"/>
      <c r="H32" s="72">
        <v>24</v>
      </c>
      <c r="I32" s="960" t="s">
        <v>426</v>
      </c>
      <c r="J32" s="960"/>
      <c r="K32" s="960"/>
      <c r="L32" s="960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7" t="s">
        <v>427</v>
      </c>
      <c r="C33" s="958"/>
      <c r="D33" s="958"/>
      <c r="E33" s="959"/>
      <c r="F33" s="73">
        <f>L11*3</f>
        <v>6</v>
      </c>
      <c r="G33" s="71"/>
      <c r="H33" s="72">
        <v>25</v>
      </c>
      <c r="I33" s="960" t="s">
        <v>428</v>
      </c>
      <c r="J33" s="960"/>
      <c r="K33" s="960"/>
      <c r="L33" s="960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7" t="s">
        <v>429</v>
      </c>
      <c r="C34" s="958"/>
      <c r="D34" s="958"/>
      <c r="E34" s="959"/>
      <c r="F34" s="73">
        <f>L11*3</f>
        <v>6</v>
      </c>
      <c r="G34" s="71"/>
      <c r="H34" s="72">
        <v>26</v>
      </c>
      <c r="I34" s="960" t="s">
        <v>430</v>
      </c>
      <c r="J34" s="960"/>
      <c r="K34" s="960"/>
      <c r="L34" s="960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7" t="s">
        <v>431</v>
      </c>
      <c r="C35" s="958"/>
      <c r="D35" s="958"/>
      <c r="E35" s="959"/>
      <c r="F35" s="73" t="str">
        <f>IF(L11&gt;2,(L11-2)*2,"0")</f>
        <v>0</v>
      </c>
      <c r="G35" s="74"/>
      <c r="H35" s="72">
        <v>27</v>
      </c>
      <c r="I35" s="960" t="s">
        <v>432</v>
      </c>
      <c r="J35" s="960"/>
      <c r="K35" s="960"/>
      <c r="L35" s="960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7" t="s">
        <v>433</v>
      </c>
      <c r="C36" s="958"/>
      <c r="D36" s="958"/>
      <c r="E36" s="959"/>
      <c r="F36" s="73" t="str">
        <f>IF(L11&gt;2,(L11-2)*L14,"0")</f>
        <v>0</v>
      </c>
      <c r="G36" s="74"/>
      <c r="H36" s="72">
        <v>28</v>
      </c>
      <c r="I36" s="960" t="s">
        <v>434</v>
      </c>
      <c r="J36" s="960"/>
      <c r="K36" s="960"/>
      <c r="L36" s="960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7" t="s">
        <v>435</v>
      </c>
      <c r="C37" s="958"/>
      <c r="D37" s="958"/>
      <c r="E37" s="959"/>
      <c r="F37" s="73">
        <f>M24</f>
        <v>1</v>
      </c>
      <c r="G37" s="74"/>
      <c r="H37" s="72">
        <v>29</v>
      </c>
      <c r="I37" s="960" t="s">
        <v>436</v>
      </c>
      <c r="J37" s="960"/>
      <c r="K37" s="960"/>
      <c r="L37" s="960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0" t="s">
        <v>437</v>
      </c>
      <c r="C38" s="960"/>
      <c r="D38" s="960"/>
      <c r="E38" s="960"/>
      <c r="F38" s="73">
        <f>تسجيل1!C21</f>
        <v>20</v>
      </c>
      <c r="G38" s="74"/>
      <c r="H38" s="72">
        <v>30</v>
      </c>
      <c r="I38" s="960" t="s">
        <v>438</v>
      </c>
      <c r="J38" s="960"/>
      <c r="K38" s="960"/>
      <c r="L38" s="960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7">
        <f>SUM(AA24:AB38)</f>
        <v>18451</v>
      </c>
      <c r="AB39" s="947"/>
    </row>
    <row r="40" ht="20.45" customHeight="1" s="58" customFormat="1">
      <c r="A40" s="961" t="s">
        <v>439</v>
      </c>
      <c r="B40" s="962"/>
      <c r="C40" s="962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7"/>
      <c r="AB40" s="947"/>
    </row>
    <row r="41" ht="18.75" customHeight="1" s="58" customFormat="1">
      <c r="A41" s="948" t="str">
        <f>IF(Format!I5=1,"-------",IF(Format!I5=2,Format!I3,Format!I4))</f>
        <v>صونفي </v>
      </c>
      <c r="B41" s="949"/>
      <c r="C41" s="950"/>
      <c r="D41" s="81"/>
      <c r="E41" s="81"/>
      <c r="F41" s="76"/>
      <c r="G41" s="68"/>
      <c r="H41" s="75"/>
      <c r="I41" s="81"/>
      <c r="J41" s="81"/>
      <c r="K41" s="81"/>
      <c r="L41" s="963" t="s">
        <v>340</v>
      </c>
      <c r="M41" s="964"/>
      <c r="N41" s="965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6">
        <f>AA39+X22+U8</f>
        <v>45111.178346874171</v>
      </c>
      <c r="AB41" s="966"/>
    </row>
    <row r="42" ht="13.9" customHeight="1" s="58" customFormat="1">
      <c r="A42" s="948"/>
      <c r="B42" s="949"/>
      <c r="C42" s="950"/>
      <c r="D42" s="10"/>
      <c r="E42" s="10"/>
      <c r="F42" s="10"/>
      <c r="G42" s="10"/>
      <c r="H42" s="10"/>
      <c r="I42" s="10"/>
      <c r="J42" s="10"/>
      <c r="K42" s="10"/>
      <c r="L42" s="926" t="str">
        <f>IF(Format!B5=1,Format!B2,IF(Format!B5=2,Format!B3,تسجيل1!F4))</f>
        <v>بيج  Ral 1013</v>
      </c>
      <c r="M42" s="927"/>
      <c r="N42" s="928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9" t="str">
        <f>IF(Format!P5=1,"Τηλεχειρισμος",IF(Format!P5=2,"-------","Διακοπτης"))</f>
        <v>Τηλεχειρισμος</v>
      </c>
      <c r="B43" s="930"/>
      <c r="C43" s="931"/>
      <c r="D43" s="10"/>
      <c r="E43" s="10"/>
      <c r="F43" s="10"/>
      <c r="G43" s="10"/>
      <c r="H43" s="10"/>
      <c r="I43" s="10"/>
      <c r="J43" s="10"/>
      <c r="K43" s="10"/>
      <c r="L43" s="932" t="s">
        <v>342</v>
      </c>
      <c r="M43" s="933"/>
      <c r="N43" s="934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5" t="str">
        <f>IF(Format!C8=1,Format!C2,IF(Format!C8=2,Format!C3,IF(Format!C8=3,Format!C4,IF(Format!C8=4,Format!C5,IF(Format!C8=5,Format!C6,تسجيل1!F5)))))</f>
        <v>بيج  Ral 1013</v>
      </c>
      <c r="M44" s="936"/>
      <c r="N44" s="937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8" t="str">
        <f>A3</f>
        <v>اسم العميل </v>
      </c>
      <c r="B96" s="939"/>
      <c r="C96" s="939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0">
        <f>N8</f>
        <v>372</v>
      </c>
      <c r="N97" s="941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2" t="str">
        <f>L44</f>
        <v>بيج  Ral 1013</v>
      </c>
      <c r="K98" s="943"/>
      <c r="L98" s="943"/>
      <c r="M98" s="943"/>
      <c r="N98" s="944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F1" sqref="AF1:AF8"/>
    </sheetView>
  </sheetViews>
  <sheetFormatPr defaultColWidth="8.85546875" defaultRowHeight="15"/>
  <cols>
    <col min="1" max="1" width="8.85546875" customWidth="1" style="361"/>
    <col min="2" max="2" width="40.7109375" customWidth="1" style="361"/>
    <col min="3" max="4" width="10.28515625" customWidth="1" style="361"/>
    <col min="5" max="5" width="14" customWidth="1" style="361"/>
    <col min="6" max="6" width="16.140625" customWidth="1" style="361"/>
    <col min="7" max="8" width="10.140625" customWidth="1" style="361"/>
    <col min="9" max="9" width="8.85546875" customWidth="1" style="361"/>
    <col min="10" max="10" width="12.28515625" customWidth="1" style="361"/>
    <col min="11" max="11" width="13.42578125" customWidth="1" style="361"/>
    <col min="12" max="12" width="36.5703125" customWidth="1" style="361"/>
    <col min="13" max="15" width="8.85546875" customWidth="1" style="361"/>
    <col min="16" max="16" width="15.28515625" customWidth="1" style="361"/>
    <col min="17" max="17" width="8.85546875" customWidth="1" style="361"/>
    <col min="18" max="18" width="3.28515625" customWidth="1" style="361"/>
    <col min="19" max="19" width="23.7109375" customWidth="1" style="361"/>
    <col min="20" max="20" width="9.42578125" customWidth="1" style="361"/>
    <col min="21" max="21" width="14.140625" customWidth="1" style="361"/>
    <col min="22" max="22" width="10.5703125" customWidth="1" style="361"/>
    <col min="23" max="23" width="16" customWidth="1" style="361"/>
    <col min="24" max="24" width="2.5703125" customWidth="1" style="361"/>
    <col min="25" max="26" width="8.85546875" customWidth="1" style="361"/>
    <col min="27" max="27" width="26.7109375" customWidth="1" style="361"/>
    <col min="28" max="30" width="8.85546875" customWidth="1" style="361"/>
    <col min="31" max="31" width="16.28515625" customWidth="1" style="361"/>
    <col min="32" max="16384" width="8.85546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15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4" t="s">
        <v>444</v>
      </c>
      <c r="H2" s="1024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15" customHeight="1">
      <c r="B3" s="595" t="str">
        <f>تسعير!AH46</f>
        <v>MESH</v>
      </c>
      <c r="C3" s="595">
        <f>تسعير!AI46</f>
        <v>350</v>
      </c>
      <c r="D3" s="595">
        <f>تسعير!AJ46</f>
        <v>400</v>
      </c>
      <c r="E3" s="595" t="str">
        <f>تسعير!AK46</f>
        <v>سادة</v>
      </c>
      <c r="F3" s="595" t="str">
        <f>تسعير!AL46</f>
        <v>سادة</v>
      </c>
      <c r="G3" s="1025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87893.134375000009</v>
      </c>
      <c r="H3" s="1025"/>
      <c r="K3" s="633">
        <f>Sheet2!B14</f>
        <v>252000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5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6" t="s">
        <v>440</v>
      </c>
      <c r="I6" s="1026"/>
      <c r="J6" s="1026"/>
      <c r="K6" s="1026"/>
      <c r="L6" s="1026" t="s">
        <v>446</v>
      </c>
      <c r="M6" s="1026"/>
      <c r="R6" s="635"/>
      <c r="S6" s="361" t="s">
        <v>455</v>
      </c>
      <c r="T6" s="361">
        <f>IF(Table1134[العرض]&lt;=600,ROUND((Table1134[العرض]/100),0),"NO")</f>
        <v>4</v>
      </c>
      <c r="V6" s="1027" t="s">
        <v>448</v>
      </c>
      <c r="W6" s="1027"/>
      <c r="X6" s="635"/>
      <c r="AF6" s="361" t="s">
        <v>456</v>
      </c>
      <c r="AG6" s="361">
        <v>550</v>
      </c>
      <c r="AH6" s="361">
        <v>550</v>
      </c>
    </row>
    <row r="7" ht="14.45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26"/>
      <c r="I7" s="1026"/>
      <c r="J7" s="1026"/>
      <c r="K7" s="1026"/>
      <c r="L7" s="1026"/>
      <c r="M7" s="1026"/>
      <c r="R7" s="635"/>
      <c r="S7" s="361" t="s">
        <v>458</v>
      </c>
      <c r="T7" s="361">
        <f>IF(Table1134[الامتداد]&lt;=600,ROUND((Table1134[الامتداد]/100),0),"NO")</f>
        <v>4</v>
      </c>
      <c r="V7" s="1027"/>
      <c r="W7" s="1027"/>
      <c r="X7" s="635"/>
      <c r="AF7" s="361" t="s">
        <v>459</v>
      </c>
      <c r="AG7" s="361">
        <v>600</v>
      </c>
      <c r="AH7" s="361">
        <v>600</v>
      </c>
    </row>
    <row r="8" ht="14.45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6"/>
      <c r="I8" s="1026"/>
      <c r="J8" s="1026"/>
      <c r="K8" s="1026"/>
      <c r="L8" s="1026"/>
      <c r="M8" s="1026"/>
      <c r="P8" s="361">
        <f>P13*K24*I24*330</f>
        <v>53130</v>
      </c>
      <c r="R8" s="635"/>
      <c r="S8" s="361" t="s">
        <v>461</v>
      </c>
      <c r="T8" s="361">
        <f>IF(Table1134[العرض]&lt;=Table1134[الامتداد],T7*T6,"NO")</f>
        <v>16</v>
      </c>
      <c r="X8" s="635"/>
      <c r="AF8" s="361" t="s">
        <v>462</v>
      </c>
      <c r="AG8" s="361">
        <v>650</v>
      </c>
      <c r="AH8" s="361">
        <v>650</v>
      </c>
    </row>
    <row r="9" ht="14.45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6"/>
      <c r="I9" s="1026"/>
      <c r="J9" s="1026"/>
      <c r="K9" s="1026"/>
      <c r="L9" s="1026"/>
      <c r="M9" s="1026"/>
      <c r="R9" s="635"/>
      <c r="S9" s="361" t="s">
        <v>464</v>
      </c>
      <c r="T9" s="361">
        <f>(Table1134[العرض]-((T14*5)+20))/T6</f>
        <v>78.75</v>
      </c>
      <c r="U9" s="361" t="s">
        <v>375</v>
      </c>
      <c r="V9" s="361">
        <f>(Table1134[الامتداد]-((T15*5)+20))/T7</f>
        <v>91.25</v>
      </c>
      <c r="X9" s="635"/>
      <c r="AG9" s="361">
        <v>700</v>
      </c>
      <c r="AH9" s="361">
        <v>700</v>
      </c>
    </row>
    <row r="10" ht="14.45" customHeight="1">
      <c r="B10" s="361" t="s">
        <v>465</v>
      </c>
      <c r="C10" s="361">
        <v>1</v>
      </c>
      <c r="F10" s="636">
        <f>Table80102[[#Totals],[price]]</f>
        <v>120289.09999999999</v>
      </c>
      <c r="H10" s="1026"/>
      <c r="I10" s="1026"/>
      <c r="J10" s="1026"/>
      <c r="K10" s="1026"/>
      <c r="L10" s="1026"/>
      <c r="M10" s="1026"/>
      <c r="R10" s="635"/>
      <c r="S10" s="361" t="s">
        <v>466</v>
      </c>
      <c r="T10" s="361">
        <f>ROUND((V9+3)/13,0)</f>
        <v>7</v>
      </c>
      <c r="X10" s="635"/>
    </row>
    <row r="11" ht="14.45" customHeight="1">
      <c r="B11" s="527" t="s">
        <v>467</v>
      </c>
      <c r="F11" s="361">
        <f>SUM(F7:F10)*0.1</f>
        <v>14064.43</v>
      </c>
      <c r="H11" s="1026"/>
      <c r="I11" s="1026"/>
      <c r="J11" s="1026"/>
      <c r="K11" s="1026"/>
      <c r="L11" s="532" t="s">
        <v>164</v>
      </c>
      <c r="M11" s="533">
        <f>Table1134[الامتداد]</f>
        <v>400</v>
      </c>
      <c r="N11" s="532" t="s">
        <v>125</v>
      </c>
      <c r="O11" s="533">
        <f>Table1134[العرض]</f>
        <v>350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5" customHeight="1">
      <c r="B12" s="361" t="s">
        <v>54</v>
      </c>
      <c r="F12" s="637">
        <f>SUBTOTAL(109,Table2135[القيمة])</f>
        <v>154708.72999999998</v>
      </c>
      <c r="H12" s="1026"/>
      <c r="I12" s="1026"/>
      <c r="J12" s="1026"/>
      <c r="K12" s="1026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5"/>
    </row>
    <row r="13" ht="18" customHeight="1">
      <c r="B13" s="532" t="s">
        <v>164</v>
      </c>
      <c r="C13" s="533">
        <f>Table1134[الامتداد]</f>
        <v>400</v>
      </c>
      <c r="D13" s="532" t="s">
        <v>125</v>
      </c>
      <c r="E13" s="533">
        <f>Table1134[العرض]</f>
        <v>350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23</v>
      </c>
      <c r="N13" s="197">
        <f>O11-16.5</f>
        <v>333.5</v>
      </c>
      <c r="O13" s="194" t="s">
        <v>303</v>
      </c>
      <c r="P13" s="194">
        <v>2</v>
      </c>
      <c r="Q13" s="194">
        <f>IF(($Q$11="سادة"),(K24*Table80102113140[[#This Row],[wt/m]]*I24*($K$3+25000)/1000),((K24*Table80102113140[[#This Row],[wt/m]]*I24*($K$3+70000)/1000)))</f>
        <v>44597</v>
      </c>
      <c r="R13" s="635"/>
      <c r="S13" s="361" t="s">
        <v>468</v>
      </c>
      <c r="T13" s="361">
        <v>1</v>
      </c>
      <c r="U13" s="361">
        <f>(Table1134[العرض]+Table1134[الامتداد])/50</f>
        <v>15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15354.9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350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3</v>
      </c>
      <c r="U14" s="361">
        <f>Table1134[الامتداد]/100</f>
        <v>4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9644.4000000000015</v>
      </c>
      <c r="X14" s="635"/>
    </row>
    <row r="15" ht="18" customHeight="1">
      <c r="B15" s="193" t="s">
        <v>302</v>
      </c>
      <c r="C15" s="196">
        <f>ROUNDUP((12+((ROUNDUP((C13-210),15))/15)),0)</f>
        <v>25</v>
      </c>
      <c r="D15" s="197">
        <f>IF(AND(E13-16.5&lt;384,E13-16.5&gt;300),E13-16.5,"NO")</f>
        <v>333.5</v>
      </c>
      <c r="E15" s="194" t="s">
        <v>303</v>
      </c>
      <c r="F15" s="194">
        <v>2.3</v>
      </c>
      <c r="G15" s="194">
        <f>IF(($G$13="سادة"),(K15*I15*F15*($K$3+25000)/1000),(K15*I15*F15*($K$3+60000)/1000))</f>
        <v>55746.249999999993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0">
        <f ref="K15:K20" t="shared" si="1">C15/(ROUNDDOWN(J15,0))</f>
        <v>12.5</v>
      </c>
      <c r="L15" s="193" t="s">
        <v>471</v>
      </c>
      <c r="M15" s="194"/>
      <c r="N15" s="196">
        <f>M11</f>
        <v>400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5"/>
    </row>
    <row r="16" ht="18" customHeight="1">
      <c r="B16" s="193" t="s">
        <v>304</v>
      </c>
      <c r="C16" s="194">
        <v>2</v>
      </c>
      <c r="D16" s="196">
        <f>E13</f>
        <v>350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0">
        <f t="shared" si="1"/>
        <v>1</v>
      </c>
      <c r="L16" s="193" t="s">
        <v>310</v>
      </c>
      <c r="M16" s="194">
        <v>1</v>
      </c>
      <c r="N16" s="194">
        <f>(15.6*(M13-1)+4)</f>
        <v>347.2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5"/>
    </row>
    <row r="17" ht="18" customHeight="1">
      <c r="B17" s="193" t="s">
        <v>306</v>
      </c>
      <c r="C17" s="194">
        <v>2</v>
      </c>
      <c r="D17" s="196">
        <f>C13</f>
        <v>400</v>
      </c>
      <c r="E17" s="194" t="s">
        <v>303</v>
      </c>
      <c r="F17" s="194">
        <v>3.8</v>
      </c>
      <c r="G17" s="194">
        <f t="shared" si="2"/>
        <v>8420.8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4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>
        <f>M13*2</f>
        <v>46</v>
      </c>
      <c r="O17" s="194" t="s">
        <v>28</v>
      </c>
      <c r="P17" s="194">
        <v>20</v>
      </c>
      <c r="Q17" s="194">
        <f>P17*N17</f>
        <v>920</v>
      </c>
      <c r="R17" s="635"/>
      <c r="S17" s="361" t="s">
        <v>474</v>
      </c>
      <c r="T17" s="361">
        <f>T10*T8</f>
        <v>112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19740</v>
      </c>
      <c r="X17" s="635"/>
    </row>
    <row r="18" ht="18" customHeight="1">
      <c r="B18" s="193" t="s">
        <v>308</v>
      </c>
      <c r="C18" s="194">
        <v>2</v>
      </c>
      <c r="D18" s="196">
        <f>E13</f>
        <v>350</v>
      </c>
      <c r="E18" s="194" t="s">
        <v>303</v>
      </c>
      <c r="F18" s="194">
        <v>1.7</v>
      </c>
      <c r="G18" s="194">
        <f t="shared" si="2"/>
        <v>3296.3</v>
      </c>
      <c r="H18" s="541"/>
      <c r="I18" s="60">
        <f t="shared" si="3"/>
        <v>7</v>
      </c>
      <c r="J18" s="279">
        <f t="shared" si="0"/>
        <v>2</v>
      </c>
      <c r="K18" s="540">
        <f t="shared" si="1"/>
        <v>1</v>
      </c>
      <c r="L18" s="193" t="s">
        <v>317</v>
      </c>
      <c r="M18" s="194"/>
      <c r="N18" s="194">
        <f>M13*2</f>
        <v>46</v>
      </c>
      <c r="O18" s="194" t="s">
        <v>28</v>
      </c>
      <c r="P18" s="194">
        <v>18</v>
      </c>
      <c r="Q18" s="194">
        <f>P18*N18</f>
        <v>828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400</v>
      </c>
      <c r="E19" s="194" t="s">
        <v>303</v>
      </c>
      <c r="F19" s="194">
        <v>1.7</v>
      </c>
      <c r="G19" s="194">
        <f t="shared" si="2"/>
        <v>3767.2</v>
      </c>
      <c r="H19" s="541"/>
      <c r="I19" s="60">
        <f t="shared" si="3"/>
        <v>4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>
        <f>D15</f>
        <v>333.5</v>
      </c>
      <c r="E20" s="194" t="s">
        <v>303</v>
      </c>
      <c r="F20" s="194">
        <v>0.65</v>
      </c>
      <c r="G20" s="194">
        <f t="shared" si="2"/>
        <v>1260.35</v>
      </c>
      <c r="H20" s="541"/>
      <c r="I20" s="60">
        <f t="shared" si="3"/>
        <v>7</v>
      </c>
      <c r="J20" s="279">
        <f t="shared" si="0"/>
        <v>2.098950524737631</v>
      </c>
      <c r="K20" s="540">
        <f t="shared" si="1"/>
        <v>1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378.4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>
        <f>M13*2</f>
        <v>46</v>
      </c>
      <c r="O21" s="194" t="s">
        <v>28</v>
      </c>
      <c r="P21" s="194">
        <v>120</v>
      </c>
      <c r="Q21" s="194">
        <f>N21*P21</f>
        <v>5520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50</v>
      </c>
      <c r="E22" s="194" t="s">
        <v>28</v>
      </c>
      <c r="F22" s="194">
        <v>20</v>
      </c>
      <c r="G22" s="194">
        <f>F22*D22</f>
        <v>1000</v>
      </c>
      <c r="H22" s="541"/>
      <c r="I22" s="62"/>
      <c r="J22" s="527"/>
      <c r="K22" s="527"/>
      <c r="L22" s="193" t="s">
        <v>322</v>
      </c>
      <c r="M22" s="194"/>
      <c r="N22" s="194">
        <f>M13*2</f>
        <v>46</v>
      </c>
      <c r="O22" s="194" t="s">
        <v>28</v>
      </c>
      <c r="P22" s="194">
        <v>120</v>
      </c>
      <c r="Q22" s="194">
        <f>N22*P22</f>
        <v>5520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50</v>
      </c>
      <c r="E23" s="194" t="s">
        <v>28</v>
      </c>
      <c r="F23" s="194">
        <v>18</v>
      </c>
      <c r="G23" s="194">
        <f>F23*D23</f>
        <v>900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>
        <f>IF(AND((N13&gt;=300),(N13&lt;334)),7,IF(AND((N13&gt;=335),(N13&lt;384)),4,"NO"))</f>
        <v>7</v>
      </c>
      <c r="J24" s="640">
        <f>(I24*100)/N13</f>
        <v>2.098950524737631</v>
      </c>
      <c r="K24" s="540">
        <f>M13/(ROUNDDOWN(J24,0))</f>
        <v>11.5</v>
      </c>
      <c r="L24" s="193" t="s">
        <v>54</v>
      </c>
      <c r="M24" s="199">
        <f>(Table80102113140[[#Totals],[price]]*1.1)/(O11*M11/10000)</f>
        <v>5447.75</v>
      </c>
      <c r="N24" s="194"/>
      <c r="O24" s="194"/>
      <c r="P24" s="194"/>
      <c r="Q24" s="194">
        <f>SUBTOTAL(109,Table80102113140[price])</f>
        <v>69335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13750.1925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5"/>
      <c r="S26" s="361" t="s">
        <v>54</v>
      </c>
      <c r="W26" s="637">
        <f>SUBTOTAL(109,Table212[القيمة])</f>
        <v>105418.1425</v>
      </c>
      <c r="X26" s="635"/>
    </row>
    <row r="27" ht="18" customHeight="1">
      <c r="B27" s="193" t="s">
        <v>321</v>
      </c>
      <c r="C27" s="194"/>
      <c r="D27" s="194">
        <f>C15*2</f>
        <v>50</v>
      </c>
      <c r="E27" s="194" t="s">
        <v>28</v>
      </c>
      <c r="F27" s="194">
        <v>120</v>
      </c>
      <c r="G27" s="194">
        <f>D27*F27</f>
        <v>6000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15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15082.65</v>
      </c>
      <c r="R27" s="635"/>
      <c r="S27" s="1023"/>
      <c r="T27" s="1023"/>
      <c r="U27" s="1023"/>
      <c r="V27" s="1023"/>
      <c r="W27" s="1023"/>
      <c r="X27" s="635"/>
    </row>
    <row r="28" ht="18" customHeight="1">
      <c r="B28" s="193" t="s">
        <v>322</v>
      </c>
      <c r="C28" s="194"/>
      <c r="D28" s="194">
        <f>C15*2</f>
        <v>50</v>
      </c>
      <c r="E28" s="194" t="s">
        <v>28</v>
      </c>
      <c r="F28" s="194">
        <v>120</v>
      </c>
      <c r="G28" s="194">
        <f>D28*F28</f>
        <v>6000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7" t="s">
        <v>449</v>
      </c>
      <c r="W28" s="1027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7"/>
      <c r="W29" s="1027"/>
      <c r="X29" s="635"/>
    </row>
    <row r="30" ht="18" customHeight="1">
      <c r="B30" s="193" t="s">
        <v>328</v>
      </c>
      <c r="C30" s="194"/>
      <c r="D30" s="194">
        <f>ROUNDUP(((D15*C15)/100),0)</f>
        <v>84</v>
      </c>
      <c r="E30" s="194" t="s">
        <v>303</v>
      </c>
      <c r="F30" s="194">
        <v>10</v>
      </c>
      <c r="G30" s="194">
        <f>D30*F30</f>
        <v>840</v>
      </c>
      <c r="H30" s="541"/>
      <c r="I30" s="527"/>
      <c r="L30" s="361" t="s">
        <v>482</v>
      </c>
      <c r="M30" s="361">
        <v>1</v>
      </c>
      <c r="P30" s="636">
        <f>Table80102113140[[#Totals],[price]]</f>
        <v>69335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>
        <f>D30</f>
        <v>84</v>
      </c>
      <c r="E31" s="194" t="s">
        <v>303</v>
      </c>
      <c r="F31" s="194">
        <v>20</v>
      </c>
      <c r="G31" s="194">
        <f>D31*F31</f>
        <v>1680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9</v>
      </c>
      <c r="E32" s="194" t="s">
        <v>28</v>
      </c>
      <c r="F32" s="194">
        <v>250</v>
      </c>
      <c r="G32" s="194">
        <f>D32*F32</f>
        <v>2250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8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14669.92</v>
      </c>
      <c r="X32" s="635"/>
    </row>
    <row r="33" ht="15.6" customHeight="1">
      <c r="B33" s="193" t="s">
        <v>331</v>
      </c>
      <c r="C33" s="194" t="s">
        <v>332</v>
      </c>
      <c r="D33" s="194">
        <f>D32</f>
        <v>9</v>
      </c>
      <c r="E33" s="194" t="s">
        <v>28</v>
      </c>
      <c r="F33" s="194">
        <v>40</v>
      </c>
      <c r="G33" s="194">
        <f>F33*D33</f>
        <v>360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>
        <f>SUM(P26:P33)*0.1</f>
        <v>10969.785000000002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>
        <f>SUBTOTAL(109,Table211[القيمة])</f>
        <v>120667.63500000001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>
        <f>(Table80102[[#Totals],[price]]*1.1)/(E13*C13/10000)</f>
        <v>9451.28642857143</v>
      </c>
      <c r="D36" s="194"/>
      <c r="E36" s="194"/>
      <c r="F36" s="194"/>
      <c r="G36" s="194">
        <f>SUBTOTAL(109,Table80102[price])</f>
        <v>120289.09999999999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5" customHeight="1">
      <c r="A37" s="1023"/>
      <c r="B37" s="1023"/>
      <c r="C37" s="1023"/>
      <c r="D37" s="1023"/>
      <c r="E37" s="1023"/>
      <c r="F37" s="1023"/>
      <c r="G37" s="1023"/>
      <c r="H37" s="1023"/>
      <c r="I37" s="1023"/>
      <c r="J37" s="1023"/>
      <c r="K37" s="1023"/>
      <c r="L37" s="1023"/>
      <c r="M37" s="1023"/>
      <c r="N37" s="1023"/>
      <c r="O37" s="1023"/>
      <c r="P37" s="1023"/>
      <c r="Q37" s="1023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5" customHeight="1">
      <c r="A38" s="1030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1" t="s">
        <v>447</v>
      </c>
      <c r="N38" s="1031"/>
      <c r="O38" s="1031"/>
      <c r="P38" s="1031"/>
      <c r="Q38" s="1031"/>
      <c r="R38" s="635"/>
      <c r="S38" s="527" t="s">
        <v>467</v>
      </c>
      <c r="W38" s="361" t="e">
        <f>SUM(W31:W37)*0.1</f>
        <v>#VALUE!</v>
      </c>
      <c r="X38" s="635"/>
    </row>
    <row r="39" ht="14.45" customHeight="1">
      <c r="A39" s="1030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31"/>
      <c r="N39" s="1031"/>
      <c r="O39" s="1031"/>
      <c r="P39" s="1031"/>
      <c r="Q39" s="1031"/>
      <c r="R39" s="635"/>
      <c r="S39" s="361" t="s">
        <v>54</v>
      </c>
      <c r="W39" s="637" t="e">
        <f>SUBTOTAL(109,Table21213[القيمة])</f>
        <v>#VALUE!</v>
      </c>
      <c r="X39" s="635"/>
    </row>
    <row r="40" ht="14.45" customHeight="1">
      <c r="A40" s="1030"/>
      <c r="B40" s="361" t="s">
        <v>468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31"/>
      <c r="N40" s="1031"/>
      <c r="O40" s="1031"/>
      <c r="P40" s="1031"/>
      <c r="Q40" s="1031"/>
      <c r="R40" s="635"/>
      <c r="S40" s="527"/>
      <c r="T40" s="527"/>
      <c r="U40" s="527"/>
      <c r="V40" s="527"/>
      <c r="W40" s="527"/>
      <c r="X40" s="635"/>
    </row>
    <row r="41" ht="15" customHeight="1">
      <c r="A41" s="1030"/>
      <c r="B41" s="361" t="s">
        <v>490</v>
      </c>
      <c r="C41" s="361">
        <v>1</v>
      </c>
      <c r="F41" s="641">
        <f>L47</f>
        <v>61684.926880444342</v>
      </c>
      <c r="M41" s="1031"/>
      <c r="N41" s="1031"/>
      <c r="O41" s="1031"/>
      <c r="P41" s="1031"/>
      <c r="Q41" s="1031"/>
      <c r="R41" s="635"/>
      <c r="S41" s="1032"/>
      <c r="T41" s="1032"/>
      <c r="U41" s="1032"/>
      <c r="V41" s="1032"/>
      <c r="W41" s="1032"/>
      <c r="X41" s="635"/>
    </row>
    <row r="42" ht="21" customHeight="1">
      <c r="A42" s="1030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3" t="s">
        <v>368</v>
      </c>
      <c r="J42" s="1034"/>
      <c r="K42" s="1035" t="s">
        <v>337</v>
      </c>
      <c r="L42" s="1036"/>
      <c r="M42" s="1031"/>
      <c r="N42" s="1031"/>
      <c r="O42" s="1031"/>
      <c r="P42" s="1031"/>
      <c r="Q42" s="1031"/>
      <c r="R42" s="635"/>
      <c r="S42" s="527" t="s">
        <v>492</v>
      </c>
      <c r="T42" s="527">
        <f>(Table1134[الامتداد]-30)/17</f>
        <v>21.764705882352942</v>
      </c>
      <c r="U42" s="527"/>
      <c r="V42" s="1029" t="s">
        <v>456</v>
      </c>
      <c r="W42" s="1029"/>
      <c r="X42" s="635"/>
    </row>
    <row r="43" ht="17.45" customHeight="1">
      <c r="A43" s="1030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350</v>
      </c>
      <c r="K43" s="645" t="s">
        <v>375</v>
      </c>
      <c r="L43" s="646">
        <f>Table1134[الامتداد]</f>
        <v>400</v>
      </c>
      <c r="M43" s="1031"/>
      <c r="N43" s="1031"/>
      <c r="O43" s="1031"/>
      <c r="P43" s="1031"/>
      <c r="Q43" s="1031"/>
      <c r="R43" s="635"/>
      <c r="S43" s="527" t="s">
        <v>494</v>
      </c>
      <c r="T43" s="527">
        <f>(Table1134[الامتداد]-30)/17</f>
        <v>21.764705882352942</v>
      </c>
      <c r="U43" s="527">
        <f>ROUND(T42+T43,0)</f>
        <v>44</v>
      </c>
      <c r="V43" s="1029"/>
      <c r="W43" s="1029"/>
      <c r="X43" s="635"/>
    </row>
    <row r="44" ht="19.15" customHeight="1">
      <c r="A44" s="1030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14</v>
      </c>
      <c r="K44" s="648" t="s">
        <v>495</v>
      </c>
      <c r="L44" s="649" t="s">
        <v>496</v>
      </c>
      <c r="M44" s="1031"/>
      <c r="N44" s="1031"/>
      <c r="O44" s="1031"/>
      <c r="P44" s="1031"/>
      <c r="Q44" s="1031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5" customHeight="1">
      <c r="A45" s="1030"/>
      <c r="B45" s="361" t="s">
        <v>478</v>
      </c>
      <c r="C45" s="361">
        <f>ROUNDUP((Table1134[العرض]+Table1134[الامتداد])*2/500,0)</f>
        <v>3</v>
      </c>
      <c r="E45" s="638">
        <v>350</v>
      </c>
      <c r="F45" s="361">
        <f>Table4137[[#This Row],[Column4]]*Table4137[[#This Row],[Column2]]</f>
        <v>1050</v>
      </c>
      <c r="I45" s="650" t="s">
        <v>379</v>
      </c>
      <c r="J45" s="648">
        <f>J43-1</f>
        <v>349</v>
      </c>
      <c r="K45" s="651" t="s">
        <v>380</v>
      </c>
      <c r="L45" s="652">
        <f>IF(B141=1,P194,IF(B141=2,P194,IF(B141=3,P194,IF(B141=4,P194,IF(B141=5,P194,"-------")))))</f>
        <v>372</v>
      </c>
      <c r="M45" s="1031"/>
      <c r="N45" s="1031"/>
      <c r="O45" s="1031"/>
      <c r="P45" s="1031"/>
      <c r="Q45" s="1031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5"/>
    </row>
    <row r="46" ht="21" customHeight="1">
      <c r="A46" s="1030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7" t="s">
        <v>369</v>
      </c>
      <c r="K46" s="1038"/>
      <c r="L46" s="1039">
        <f>IF(Table1134[لون اللوفرز]=AI1,K3+(Sheet2!B41*1000),IF(Table1134[لون اللوفرز]=AI2,K3+Sheet2!B15,"NO"))</f>
        <v>282000</v>
      </c>
      <c r="M46" s="1039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15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15082.65</v>
      </c>
      <c r="X46" s="635"/>
      <c r="Y46" s="527"/>
    </row>
    <row r="47" ht="19.15" customHeight="1">
      <c r="A47" s="1030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2" t="s">
        <v>498</v>
      </c>
      <c r="K47" s="1042"/>
      <c r="L47" s="1043">
        <f>Table13138[[#Totals],[السعر]]+Table15139[[#Totals],[قيمة]]</f>
        <v>61684.926880444342</v>
      </c>
      <c r="M47" s="1043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4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1994.4</v>
      </c>
      <c r="X47" s="635"/>
      <c r="Y47" s="527"/>
    </row>
    <row r="48" ht="17.45" customHeight="1">
      <c r="A48" s="1030"/>
      <c r="B48" s="527" t="s">
        <v>467</v>
      </c>
      <c r="C48" s="527"/>
      <c r="D48" s="527"/>
      <c r="E48" s="527"/>
      <c r="F48" s="527" t="e">
        <f>SUM(F38:F47)*0.1</f>
        <v>#VALUE!</v>
      </c>
      <c r="H48" s="527"/>
      <c r="I48" s="527"/>
      <c r="J48" s="1044" t="s">
        <v>127</v>
      </c>
      <c r="K48" s="1045"/>
      <c r="L48" s="1046">
        <f>L47/J44</f>
        <v>4406.066205746024</v>
      </c>
      <c r="M48" s="1047"/>
      <c r="N48" s="527"/>
      <c r="O48" s="527"/>
      <c r="P48" s="527"/>
      <c r="Q48" s="527"/>
      <c r="R48" s="635"/>
      <c r="S48" s="361" t="s">
        <v>485</v>
      </c>
      <c r="T48" s="361">
        <f>IF(AND(Table1134[العرض]&lt;=400,Table1134[العرض]&gt;=350,Table1134[الامتداد]&lt;=500,Table1134[الامتداد]&gt;=350,Table1134[الامتداد]&gt;=Table1134[العرض]),U43,"NO")</f>
        <v>44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31993.5</v>
      </c>
      <c r="X48" s="635"/>
      <c r="Y48" s="527"/>
    </row>
    <row r="49" ht="28.15" customHeight="1">
      <c r="A49" s="1030"/>
      <c r="B49" s="361" t="s">
        <v>54</v>
      </c>
      <c r="F49" s="641" t="e">
        <f>SUBTOTAL(109,Table4137[Column5])</f>
        <v>#VALUE!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0"/>
      <c r="B50" s="527"/>
      <c r="C50" s="527"/>
      <c r="D50" s="527"/>
      <c r="E50" s="1028" t="s">
        <v>500</v>
      </c>
      <c r="F50" s="1028"/>
      <c r="G50" s="1028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0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0"/>
      <c r="B52" s="659" t="s">
        <v>389</v>
      </c>
      <c r="C52" s="661">
        <f>H68</f>
        <v>2</v>
      </c>
      <c r="D52" s="662">
        <f>G234</f>
        <v>365</v>
      </c>
      <c r="E52" s="656">
        <f>IF(D52&lt;=400,4,0)</f>
        <v>4</v>
      </c>
      <c r="F52" s="656">
        <f>IF(AND(D52&gt;400,D52&lt;=500),5,0)</f>
        <v>0</v>
      </c>
      <c r="G52" s="656">
        <f>IF(AND(D52&gt;500,D52&lt;=600),6,0)</f>
        <v>0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4</v>
      </c>
      <c r="L52" s="663">
        <f ref="L52:L61" t="shared" si="5">(C52*D52)/K52/100</f>
        <v>1.825</v>
      </c>
      <c r="M52" s="541">
        <f>CEILING(L52,0.5)</f>
        <v>2</v>
      </c>
      <c r="N52" s="541">
        <f>M52*K52</f>
        <v>8</v>
      </c>
      <c r="O52" s="663">
        <v>4.4562770562770568</v>
      </c>
      <c r="P52" s="664">
        <f>($L$46/1000)*O52*N52</f>
        <v>10053.36103896104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5" customHeight="1">
      <c r="A53" s="1030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1">
        <f>IF(D53&lt;=400,4,0)</f>
        <v>4</v>
      </c>
      <c r="F53" s="541">
        <f>IF(AND(D53&gt;401,D53&lt;=500),5,0)</f>
        <v>0</v>
      </c>
      <c r="G53" s="541">
        <f>IF(AND(D53&gt;501,D53&lt;=600),6,0)</f>
        <v>0</v>
      </c>
      <c r="H53" s="541">
        <f>IF(AND(D53&gt;601,D53&lt;=700),7,0)</f>
        <v>0</v>
      </c>
      <c r="I53" s="541"/>
      <c r="J53" s="541"/>
      <c r="K53" s="541">
        <f t="shared" si="4"/>
        <v>4</v>
      </c>
      <c r="L53" s="663">
        <f t="shared" si="5"/>
        <v>1.745</v>
      </c>
      <c r="M53" s="541">
        <f ref="M53:M62" t="shared" si="6">CEILING(L53,0.25)</f>
        <v>1.75</v>
      </c>
      <c r="N53" s="541">
        <f ref="N53:N61" t="shared" si="7">C53*K53</f>
        <v>8</v>
      </c>
      <c r="O53" s="663">
        <v>1.8637873754152825</v>
      </c>
      <c r="P53" s="664">
        <f ref="P53:P61" t="shared" si="8">($L$46/1000)*O53*N53</f>
        <v>4204.7043189368769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0"/>
      <c r="B54" s="659" t="s">
        <v>391</v>
      </c>
      <c r="C54" s="661" t="str">
        <f>IF(H68&lt;=3,"0",(H68-3)*2)</f>
        <v>0</v>
      </c>
      <c r="D54" s="662">
        <f>IF(C54="-------","-------",H74-5)</f>
        <v>336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0"/>
      <c r="B55" s="659" t="s">
        <v>393</v>
      </c>
      <c r="C55" s="661">
        <f>IF(H68&gt;2,2*H71,IF(H68=2,H71))</f>
        <v>5</v>
      </c>
      <c r="D55" s="662">
        <f>D53</f>
        <v>349</v>
      </c>
      <c r="E55" s="541">
        <f>IF(D55&lt;=400,4,0)</f>
        <v>4</v>
      </c>
      <c r="F55" s="541">
        <f>IF(AND(D55&gt;401,D55&lt;=500),5,0)</f>
        <v>0</v>
      </c>
      <c r="G55" s="541">
        <f>IF(AND(D55&gt;501,D55&lt;=600),6,0)</f>
        <v>0</v>
      </c>
      <c r="H55" s="541">
        <f>IF(AND(D55&gt;601,D55&lt;=700),7,0)</f>
        <v>0</v>
      </c>
      <c r="I55" s="541"/>
      <c r="J55" s="541"/>
      <c r="K55" s="541">
        <f t="shared" si="4"/>
        <v>4</v>
      </c>
      <c r="L55" s="663">
        <f t="shared" si="5"/>
        <v>4.3625</v>
      </c>
      <c r="M55" s="541">
        <f>CEILING(L55,0.5)</f>
        <v>4.5</v>
      </c>
      <c r="N55" s="541">
        <f t="shared" si="7"/>
        <v>20</v>
      </c>
      <c r="O55" s="663">
        <v>1.0517241379310345</v>
      </c>
      <c r="P55" s="664">
        <f t="shared" si="8"/>
        <v>5931.7241379310344</v>
      </c>
      <c r="Q55" s="654"/>
      <c r="R55" s="635"/>
      <c r="S55" s="527" t="s">
        <v>467</v>
      </c>
      <c r="T55" s="527"/>
      <c r="U55" s="527"/>
      <c r="V55" s="527"/>
      <c r="W55" s="527">
        <f>SUM(W45:W54)*0.15</f>
        <v>11332.6125</v>
      </c>
      <c r="X55" s="635"/>
      <c r="Y55" s="527"/>
    </row>
    <row r="56" ht="18" customHeight="1">
      <c r="A56" s="1030"/>
      <c r="B56" s="659" t="s">
        <v>395</v>
      </c>
      <c r="C56" s="661" t="str">
        <f>IF(H68&lt;=3,"0",(H68-3)*H71)</f>
        <v>0</v>
      </c>
      <c r="D56" s="662">
        <f>IF(C56="-------","---------",D54)</f>
        <v>336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>
        <f>SUBTOTAL(109,Table212136[القيمة])</f>
        <v>86883.3625</v>
      </c>
      <c r="X56" s="635"/>
      <c r="Y56" s="527"/>
    </row>
    <row r="57" ht="18" customHeight="1">
      <c r="A57" s="1030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1">
        <f>IF(D57&lt;=400,4,0)</f>
        <v>4</v>
      </c>
      <c r="F57" s="541">
        <f>IF(AND(D57&gt;401,D57&lt;=500),5,0)</f>
        <v>0</v>
      </c>
      <c r="G57" s="541">
        <f>IF(AND(D57&gt;501,D57&lt;=600),6,0)</f>
        <v>0</v>
      </c>
      <c r="H57" s="541">
        <f>IF(AND(D57&gt;601,D57&lt;=700),7,0)</f>
        <v>0</v>
      </c>
      <c r="I57" s="541"/>
      <c r="J57" s="541"/>
      <c r="K57" s="541">
        <f t="shared" si="4"/>
        <v>4</v>
      </c>
      <c r="L57" s="663">
        <f t="shared" si="5"/>
        <v>0.86875</v>
      </c>
      <c r="M57" s="541">
        <f ref="M57:M58" t="shared" si="9">CEILING(L57,0.5)</f>
        <v>1</v>
      </c>
      <c r="N57" s="541">
        <f t="shared" si="7"/>
        <v>4</v>
      </c>
      <c r="O57" s="663">
        <v>1.394871794871795</v>
      </c>
      <c r="P57" s="664">
        <f t="shared" si="8"/>
        <v>1573.4153846153847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" customHeight="1">
      <c r="A58" s="1030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344.5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33.636363636363633</v>
      </c>
      <c r="V58" s="1029" t="s">
        <v>459</v>
      </c>
      <c r="W58" s="1029"/>
      <c r="X58" s="635"/>
      <c r="Y58" s="527"/>
    </row>
    <row r="59" ht="28.9" customHeight="1">
      <c r="A59" s="1030"/>
      <c r="B59" s="659" t="s">
        <v>399</v>
      </c>
      <c r="C59" s="661" t="str">
        <f>IF(H68&lt;=3,"0",(H68-3))</f>
        <v>0</v>
      </c>
      <c r="D59" s="662">
        <f>IF(C59="-------","-------",H74)</f>
        <v>341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34</v>
      </c>
      <c r="U59" s="527"/>
      <c r="V59" s="1029"/>
      <c r="W59" s="1029"/>
      <c r="X59" s="635"/>
      <c r="Y59" s="527"/>
    </row>
    <row r="60" ht="18" customHeight="1">
      <c r="A60" s="1030"/>
      <c r="B60" s="659" t="str">
        <f>IF(I138=1,"Balloon","-------")</f>
        <v>-------</v>
      </c>
      <c r="C60" s="661">
        <v>0</v>
      </c>
      <c r="D60" s="662">
        <f>IF(C60="-------","-------",J43-2.5)</f>
        <v>347.5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0"/>
      <c r="B61" s="659" t="s">
        <v>400</v>
      </c>
      <c r="C61" s="659">
        <f>IF([2]Royal!W49=[2]Royal!AO50,0,(C53+C54)/2)</f>
        <v>0</v>
      </c>
      <c r="D61" s="662">
        <f>H74-7</f>
        <v>334</v>
      </c>
      <c r="E61" s="541">
        <f>IF(D61&lt;=300,3,0)</f>
        <v>0</v>
      </c>
      <c r="F61" s="541">
        <f>IF(D61&gt;300,3.5,0)</f>
        <v>3.5</v>
      </c>
      <c r="G61" s="541">
        <f>IF(D61&gt;350,4,0)</f>
        <v>0</v>
      </c>
      <c r="H61" s="541">
        <f>IF(D61&gt;400,5,0)</f>
        <v>0</v>
      </c>
      <c r="I61" s="541">
        <f>IF(D61&gt;500,6,0)</f>
        <v>0</v>
      </c>
      <c r="J61" s="541">
        <f>IF(D61&gt;600,7,0)</f>
        <v>0</v>
      </c>
      <c r="K61" s="541">
        <f t="shared" si="4"/>
        <v>3.5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5"/>
      <c r="Y61" s="527"/>
    </row>
    <row r="62" ht="18" customHeight="1">
      <c r="A62" s="1030"/>
      <c r="B62" s="659" t="s">
        <v>402</v>
      </c>
      <c r="C62" s="661">
        <f>H68</f>
        <v>2</v>
      </c>
      <c r="D62" s="662">
        <f>(D52*2)+45</f>
        <v>775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15.5</v>
      </c>
      <c r="M62" s="541">
        <f t="shared" si="6"/>
        <v>15.5</v>
      </c>
      <c r="N62" s="541">
        <f>M62*K62</f>
        <v>15.5</v>
      </c>
      <c r="O62" s="541">
        <v>200</v>
      </c>
      <c r="P62" s="664">
        <f>O62*N62</f>
        <v>3100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7.5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15082.65</v>
      </c>
      <c r="X62" s="635"/>
      <c r="Y62" s="527"/>
    </row>
    <row r="63" ht="18" customHeight="1">
      <c r="A63" s="1030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24863.20488044434</v>
      </c>
      <c r="Q63" s="654"/>
      <c r="R63" s="635"/>
      <c r="S63" s="361" t="s">
        <v>510</v>
      </c>
      <c r="T63" s="361">
        <f>IF(AND(Table1134[العرض]&lt;=400,Table1134[العرض]&gt;=350,Table1134[الامتداد]&lt;=500,Table1134[الامتداد]&gt;=350,Table1134[الامتداد]&gt;=Table1134[العرض]),T59,"NO")</f>
        <v>34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39555.6</v>
      </c>
      <c r="X63" s="635"/>
      <c r="Y63" s="527"/>
    </row>
    <row r="64" ht="17.45" customHeight="1">
      <c r="A64" s="1030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4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1662</v>
      </c>
      <c r="X64" s="635"/>
      <c r="Y64" s="527"/>
    </row>
    <row r="65" ht="18" customHeight="1">
      <c r="A65" s="1030"/>
      <c r="B65" s="669" t="s">
        <v>513</v>
      </c>
      <c r="C65" s="671">
        <f>J45*L45*1.7/10000</f>
        <v>22.07076</v>
      </c>
      <c r="D65" s="541">
        <v>950</v>
      </c>
      <c r="E65" s="541">
        <f>D65*C65</f>
        <v>20967.222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0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0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0" t="s">
        <v>366</v>
      </c>
      <c r="I67" s="1050"/>
      <c r="J67" s="1050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0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0">
        <v>2</v>
      </c>
      <c r="I68" s="1050"/>
      <c r="J68" s="1050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5" customHeight="1">
      <c r="A69" s="1030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0"/>
      <c r="B70" s="671" t="s">
        <v>417</v>
      </c>
      <c r="C70" s="671">
        <f>H71</f>
        <v>5</v>
      </c>
      <c r="D70" s="541">
        <v>1.5</v>
      </c>
      <c r="E70" s="541">
        <f t="shared" si="17"/>
        <v>7.5</v>
      </c>
      <c r="F70" s="527"/>
      <c r="G70" s="527"/>
      <c r="H70" s="1051" t="s">
        <v>392</v>
      </c>
      <c r="I70" s="1051"/>
      <c r="J70" s="1051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0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5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>
        <f>SUM(W61:W69)*0.15</f>
        <v>12342.0675</v>
      </c>
      <c r="X71" s="635"/>
    </row>
    <row r="72" ht="18" customHeight="1">
      <c r="A72" s="1030"/>
      <c r="B72" s="671" t="s">
        <v>421</v>
      </c>
      <c r="C72" s="671">
        <f>H71*H68</f>
        <v>10</v>
      </c>
      <c r="D72" s="541">
        <v>1</v>
      </c>
      <c r="E72" s="541">
        <f t="shared" si="17"/>
        <v>10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>
        <f>SUBTOTAL(109,Table2121367[القيمة])</f>
        <v>95622.5175</v>
      </c>
      <c r="X72" s="635"/>
    </row>
    <row r="73" ht="18.75">
      <c r="A73" s="1030"/>
      <c r="B73" s="671" t="s">
        <v>423</v>
      </c>
      <c r="C73" s="671">
        <f>(H71+J71)*2</f>
        <v>14</v>
      </c>
      <c r="D73" s="541">
        <v>5.5</v>
      </c>
      <c r="E73" s="541">
        <f t="shared" si="17"/>
        <v>77</v>
      </c>
      <c r="F73" s="527"/>
      <c r="G73" s="527"/>
      <c r="H73" s="1052" t="s">
        <v>397</v>
      </c>
      <c r="I73" s="1052"/>
      <c r="J73" s="1052"/>
      <c r="K73" s="527"/>
      <c r="L73" s="527"/>
      <c r="M73" s="527"/>
      <c r="N73" s="527"/>
      <c r="O73" s="527"/>
      <c r="P73" s="527"/>
      <c r="Q73" s="527"/>
      <c r="R73" s="635"/>
      <c r="S73" s="1023"/>
      <c r="T73" s="1023"/>
      <c r="U73" s="1023"/>
      <c r="V73" s="1023"/>
      <c r="W73" s="1023"/>
      <c r="X73" s="635"/>
    </row>
    <row r="74" ht="20.25">
      <c r="A74" s="1030"/>
      <c r="B74" s="671" t="s">
        <v>425</v>
      </c>
      <c r="C74" s="671">
        <f>(H71+J71)*2</f>
        <v>14</v>
      </c>
      <c r="D74" s="541">
        <v>5</v>
      </c>
      <c r="E74" s="541">
        <f t="shared" si="17"/>
        <v>70</v>
      </c>
      <c r="F74" s="654"/>
      <c r="G74" s="654"/>
      <c r="H74" s="1040">
        <f>IF(B141=1,(J43-2-6)/(H68-1),IF(B141=2,(J43-2-7)/(H68-1),IF(B141=3,(J43-2-6)/(H68-1),IF(B141=4,(J43-2-8.5)/(H68-1),IF(B141=5,(J43-2-10)/(H68-1),"--------")))))</f>
        <v>341</v>
      </c>
      <c r="I74" s="1040"/>
      <c r="J74" s="1040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1</v>
      </c>
      <c r="V74" s="1041" t="s">
        <v>462</v>
      </c>
      <c r="W74" s="1041"/>
      <c r="X74" s="635"/>
    </row>
    <row r="75" ht="18.75">
      <c r="A75" s="1030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9</v>
      </c>
      <c r="V75" s="1041"/>
      <c r="W75" s="1041"/>
      <c r="X75" s="635"/>
    </row>
    <row r="76" ht="18.75">
      <c r="A76" s="1030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2" t="s">
        <v>347</v>
      </c>
      <c r="I76" s="1052"/>
      <c r="J76" s="1052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.75">
      <c r="A77" s="1030"/>
      <c r="B77" s="671" t="s">
        <v>431</v>
      </c>
      <c r="C77" s="671" t="str">
        <f>IF(H68&gt;2,(H68-2)*2,"0")</f>
        <v>0</v>
      </c>
      <c r="D77" s="541">
        <f>0.4*L46/1000</f>
        <v>112.8</v>
      </c>
      <c r="E77" s="541">
        <f t="shared" si="17"/>
        <v>0</v>
      </c>
      <c r="F77" s="654"/>
      <c r="G77" s="654"/>
      <c r="H77" s="674" t="s">
        <v>324</v>
      </c>
      <c r="I77" s="1053" t="s">
        <v>401</v>
      </c>
      <c r="J77" s="1053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5"/>
    </row>
    <row r="78" ht="18.75">
      <c r="A78" s="1030"/>
      <c r="B78" s="671" t="s">
        <v>433</v>
      </c>
      <c r="C78" s="671" t="str">
        <f>IF(H68&gt;2,(H68-2)*H71,"0")</f>
        <v>0</v>
      </c>
      <c r="D78" s="541">
        <f>0.2*L46/1000</f>
        <v>56.4</v>
      </c>
      <c r="E78" s="541">
        <f t="shared" si="17"/>
        <v>0</v>
      </c>
      <c r="F78" s="654"/>
      <c r="G78" s="654"/>
      <c r="H78" s="672">
        <f>IF(F141=1,"-------",IF(F141=5,"-------",I133))</f>
        <v>2</v>
      </c>
      <c r="I78" s="1052" t="str">
        <f>IF(H78="-------","-------",E114)</f>
        <v>4Χ220- 1Χ250</v>
      </c>
      <c r="J78" s="1052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7.5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15082.65</v>
      </c>
      <c r="X78" s="635"/>
    </row>
    <row r="79" ht="18.75">
      <c r="A79" s="1030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9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15955.2</v>
      </c>
      <c r="X79" s="635"/>
    </row>
    <row r="80" ht="18.75">
      <c r="A80" s="1030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3</v>
      </c>
      <c r="U80" s="361">
        <f>MROUND(Table1134[الامتداد]*0.012,1)</f>
        <v>5</v>
      </c>
      <c r="V80" s="361">
        <v>125</v>
      </c>
      <c r="W80" s="361">
        <f>Table212136714[[#This Row],[الوزن المتري]]*Table212136714[[#This Row],[الطول]]*Table212136714[[#This Row],[العدد]]</f>
        <v>1875</v>
      </c>
      <c r="X80" s="635"/>
    </row>
    <row r="81" ht="18.75">
      <c r="A81" s="1030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.75">
      <c r="A82" s="1030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.75">
      <c r="A83" s="1030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.75">
      <c r="A84" s="1030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2.5">
      <c r="A85" s="1030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.75">
      <c r="A86" s="1030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9</v>
      </c>
      <c r="U86" s="639"/>
      <c r="V86" s="527">
        <v>250</v>
      </c>
      <c r="W86" s="361">
        <f>Table212136714[[#This Row],[الوزن المتري]]*Table212136714[[#This Row],[العدد]]</f>
        <v>2250</v>
      </c>
      <c r="X86" s="635"/>
    </row>
    <row r="87" ht="18.75">
      <c r="A87" s="1030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9171.4575</v>
      </c>
      <c r="X87" s="635"/>
    </row>
    <row r="88" ht="18.75">
      <c r="A88" s="1030"/>
      <c r="B88" s="671" t="s">
        <v>424</v>
      </c>
      <c r="C88" s="671">
        <f>C72</f>
        <v>10</v>
      </c>
      <c r="D88" s="541">
        <v>50</v>
      </c>
      <c r="E88" s="541">
        <f t="shared" si="17"/>
        <v>500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70314.5075</v>
      </c>
      <c r="X88" s="635"/>
    </row>
    <row r="89" ht="18.75">
      <c r="A89" s="1030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3"/>
      <c r="T89" s="1023"/>
      <c r="U89" s="1023"/>
      <c r="V89" s="1023"/>
      <c r="W89" s="1023"/>
      <c r="X89" s="635"/>
    </row>
    <row r="90" ht="18.75">
      <c r="A90" s="1030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.75">
      <c r="A91" s="1030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.75">
      <c r="A92" s="1030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.75">
      <c r="A93" s="1030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.75">
      <c r="A94" s="1030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.75">
      <c r="A95" s="1030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.75">
      <c r="A96" s="1030"/>
      <c r="B96" s="675" t="s">
        <v>54</v>
      </c>
      <c r="D96" s="595"/>
      <c r="E96" s="595">
        <f>SUBTOTAL(109,Table15139[قيمة])</f>
        <v>36821.722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.75">
      <c r="A97" s="1030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.75">
      <c r="A98" s="1030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.75">
      <c r="A99" s="1030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.75">
      <c r="A100" s="1030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.75">
      <c r="A101" s="1030"/>
      <c r="B101" s="1054" t="str">
        <f>K42</f>
        <v>اسم العميل </v>
      </c>
      <c r="C101" s="1055"/>
      <c r="D101" s="1055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.75">
      <c r="A102" s="1030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349</v>
      </c>
      <c r="M102" s="534" t="str">
        <f>K45</f>
        <v>Χ</v>
      </c>
      <c r="N102" s="1048">
        <f>L45</f>
        <v>372</v>
      </c>
      <c r="O102" s="1049"/>
      <c r="P102" s="534"/>
      <c r="Q102" s="683"/>
      <c r="R102" s="635"/>
    </row>
    <row r="103" ht="18.75">
      <c r="A103" s="1030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6" t="str">
        <f>L109</f>
        <v>بيج  Ral 1013</v>
      </c>
      <c r="L103" s="1057"/>
      <c r="M103" s="1057"/>
      <c r="N103" s="1057"/>
      <c r="O103" s="1058"/>
      <c r="P103" s="534"/>
      <c r="Q103" s="683"/>
      <c r="R103" s="635"/>
    </row>
    <row r="104" ht="18.75">
      <c r="A104" s="1030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.75">
      <c r="A105" s="1030"/>
      <c r="B105" s="691" t="s">
        <v>337</v>
      </c>
      <c r="C105" s="1059">
        <f>[2]Royal!J47</f>
        <v>0</v>
      </c>
      <c r="D105" s="1060"/>
      <c r="E105" s="1060"/>
      <c r="F105" s="1060"/>
      <c r="G105" s="1061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.75">
      <c r="A106" s="1030"/>
      <c r="B106" s="691" t="s">
        <v>338</v>
      </c>
      <c r="C106" s="691"/>
      <c r="D106" s="691"/>
      <c r="E106" s="691"/>
      <c r="F106" s="691"/>
      <c r="G106" s="1062" t="s">
        <v>339</v>
      </c>
      <c r="H106" s="1062"/>
      <c r="I106" s="691"/>
      <c r="J106" s="691"/>
      <c r="K106" s="527"/>
      <c r="L106" s="963" t="s">
        <v>340</v>
      </c>
      <c r="M106" s="964"/>
      <c r="N106" s="965"/>
      <c r="O106" s="527"/>
      <c r="P106" s="527"/>
      <c r="Q106" s="677"/>
      <c r="R106" s="635"/>
    </row>
    <row r="107" ht="18.75">
      <c r="A107" s="1030"/>
      <c r="B107" s="691" t="s">
        <v>340</v>
      </c>
      <c r="C107" s="691"/>
      <c r="D107" s="691"/>
      <c r="E107" s="691"/>
      <c r="F107" s="691"/>
      <c r="G107" s="1063" t="s">
        <v>341</v>
      </c>
      <c r="H107" s="1064"/>
      <c r="I107" s="1064"/>
      <c r="J107" s="1065"/>
      <c r="K107" s="527"/>
      <c r="L107" s="1066" t="str">
        <f>IF(C139=1,C136,IF(C139=2,C137,G107))</f>
        <v>بيج  Ral 1013</v>
      </c>
      <c r="M107" s="1067"/>
      <c r="N107" s="1068"/>
      <c r="O107" s="527"/>
      <c r="P107" s="527"/>
      <c r="Q107" s="677"/>
      <c r="R107" s="635"/>
    </row>
    <row r="108" ht="18.75">
      <c r="A108" s="1030"/>
      <c r="B108" s="691" t="s">
        <v>342</v>
      </c>
      <c r="C108" s="691"/>
      <c r="D108" s="691"/>
      <c r="E108" s="691"/>
      <c r="F108" s="691"/>
      <c r="G108" s="1071" t="s">
        <v>343</v>
      </c>
      <c r="H108" s="1072"/>
      <c r="I108" s="1072"/>
      <c r="J108" s="1073"/>
      <c r="K108" s="527"/>
      <c r="L108" s="932" t="s">
        <v>342</v>
      </c>
      <c r="M108" s="933"/>
      <c r="N108" s="934"/>
      <c r="O108" s="527"/>
      <c r="P108" s="527"/>
      <c r="Q108" s="677"/>
      <c r="R108" s="635"/>
    </row>
    <row r="109" ht="18.75">
      <c r="A109" s="1030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4" t="str">
        <f>IF(D142=1,D136,IF(D142=2,D137,IF(D142=3,D138,IF(D142=4,D139,IF(D142=5,D140,G108)))))</f>
        <v>بيج  Ral 1013</v>
      </c>
      <c r="M109" s="1075"/>
      <c r="N109" s="1076"/>
      <c r="O109" s="527"/>
      <c r="P109" s="527"/>
      <c r="Q109" s="677"/>
      <c r="R109" s="635"/>
    </row>
    <row r="110" ht="18.75">
      <c r="A110" s="1030"/>
      <c r="B110" s="691"/>
      <c r="C110" s="693" t="s">
        <v>125</v>
      </c>
      <c r="D110" s="694">
        <f>Table1134[العرض]</f>
        <v>350</v>
      </c>
      <c r="E110" s="695" t="s">
        <v>164</v>
      </c>
      <c r="F110" s="696">
        <f>Table1134[الامتداد]</f>
        <v>400</v>
      </c>
      <c r="G110" s="691"/>
      <c r="H110" s="691"/>
      <c r="I110" s="691"/>
      <c r="J110" s="691"/>
      <c r="K110" s="527"/>
      <c r="L110" s="1077" t="s">
        <v>439</v>
      </c>
      <c r="M110" s="1078"/>
      <c r="N110" s="1078"/>
      <c r="O110" s="527"/>
      <c r="P110" s="527"/>
      <c r="Q110" s="677"/>
      <c r="R110" s="635"/>
    </row>
    <row r="111" ht="18.75">
      <c r="A111" s="1030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79" t="str">
        <f>IF(J139=1,"-------",IF(J139=2,J137,J138))</f>
        <v>صونفي </v>
      </c>
      <c r="M111" s="1080"/>
      <c r="N111" s="1081"/>
      <c r="O111" s="527"/>
      <c r="P111" s="527"/>
      <c r="Q111" s="677"/>
      <c r="R111" s="635"/>
    </row>
    <row r="112" ht="18.75">
      <c r="A112" s="1030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79"/>
      <c r="M112" s="1080"/>
      <c r="N112" s="1081"/>
      <c r="O112" s="527"/>
      <c r="P112" s="527"/>
      <c r="Q112" s="677"/>
      <c r="R112" s="635"/>
    </row>
    <row r="113" ht="18.75">
      <c r="A113" s="1030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2" t="str">
        <f>IF('[2]Cutting Ro-1'!Q139=1,"Τηλεχειρισμος",IF('[2]Cutting Ro-1'!Q139=2,"-------","Διακοπτης"))</f>
        <v>Διακοπτης</v>
      </c>
      <c r="M113" s="1083"/>
      <c r="N113" s="1084"/>
      <c r="O113" s="527"/>
      <c r="P113" s="527"/>
      <c r="Q113" s="677"/>
      <c r="R113" s="635"/>
    </row>
    <row r="114" ht="18.75">
      <c r="A114" s="1030"/>
      <c r="B114" s="691" t="s">
        <v>347</v>
      </c>
      <c r="C114" s="1069" t="s">
        <v>348</v>
      </c>
      <c r="D114" s="1070"/>
      <c r="E114" s="1072" t="s">
        <v>349</v>
      </c>
      <c r="F114" s="1073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.75">
      <c r="A115" s="1030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.75">
      <c r="A116" s="1030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.75">
      <c r="A117" s="1030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.75">
      <c r="A118" s="1030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.75">
      <c r="A119" s="1030"/>
      <c r="B119" s="691"/>
      <c r="C119" s="691"/>
      <c r="D119" s="1062" t="s">
        <v>353</v>
      </c>
      <c r="E119" s="1062"/>
      <c r="F119" s="1062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.75">
      <c r="A120" s="1030"/>
      <c r="B120" s="1062" t="s">
        <v>355</v>
      </c>
      <c r="C120" s="1062"/>
      <c r="D120" s="1062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.75">
      <c r="A121" s="1030"/>
      <c r="B121" s="1069" t="s">
        <v>356</v>
      </c>
      <c r="C121" s="1070"/>
      <c r="D121" s="697">
        <f>C214</f>
        <v>3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.75">
      <c r="A122" s="1030"/>
      <c r="B122" s="1069" t="s">
        <v>357</v>
      </c>
      <c r="C122" s="1070"/>
      <c r="D122" s="697">
        <f>C217</f>
        <v>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.75">
      <c r="A123" s="1030"/>
      <c r="B123" s="1069" t="s">
        <v>358</v>
      </c>
      <c r="C123" s="1070"/>
      <c r="D123" s="697">
        <f>D122/D121</f>
        <v>2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.75">
      <c r="A124" s="1030"/>
      <c r="B124" s="1069" t="s">
        <v>359</v>
      </c>
      <c r="C124" s="1070"/>
      <c r="D124" s="1072">
        <v>20</v>
      </c>
      <c r="E124" s="1073"/>
      <c r="F124" s="1069" t="s">
        <v>360</v>
      </c>
      <c r="G124" s="1070"/>
      <c r="H124" s="1070"/>
      <c r="I124" s="697">
        <f>D124/D121</f>
        <v>6.666666666666667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.75">
      <c r="A125" s="1030"/>
      <c r="B125" s="1069" t="s">
        <v>361</v>
      </c>
      <c r="C125" s="1070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.75">
      <c r="A126" s="1030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.75">
      <c r="A127" s="1030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.75">
      <c r="A128" s="1030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.75">
      <c r="A129" s="1030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.75">
      <c r="A130" s="1030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2</v>
      </c>
      <c r="I130" s="698">
        <f>IF(K142=3,H130,IF(K142=1,H130-2,IF(K142=2,H130-1,IF(K142=4,H130+1,IF(K142=5,H130+2)))))</f>
        <v>2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.75">
      <c r="A131" s="1030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5</v>
      </c>
      <c r="I131" s="698">
        <f>IF(L148=6,0,IF(L148=1,-5,IF(L148=2,-4,IF(L148=3,-3,IF(L148=4,-2,IF(L148=5,-1,IF(L148=7,1,IF(L148=8,2,IF(L148=9,3,IF(L148=10,4,IF(L148=11,5,)))))))))))+H131</f>
        <v>5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.75">
      <c r="A132" s="1030"/>
      <c r="B132" s="691"/>
      <c r="C132" s="691"/>
      <c r="D132" s="691"/>
      <c r="E132" s="691"/>
      <c r="F132" s="691"/>
      <c r="G132" s="691"/>
      <c r="H132" s="698">
        <f>IF(I130=2,2,I130+1)</f>
        <v>2</v>
      </c>
      <c r="I132" s="698">
        <f>IF(M148=6,0,IF(M148=1,-5,IF(M148=2,-4,IF(M148=3,-3,IF(M148=4,-2,IF(M148=5,-1,IF(M148=7,1,IF(M148=8,2,IF(M148=9,3,IF(M148=10,4,IF(M148=11,5,)))))))))))+H132</f>
        <v>2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.75">
      <c r="A133" s="1030"/>
      <c r="B133" s="691" t="s">
        <v>347</v>
      </c>
      <c r="C133" s="691"/>
      <c r="D133" s="691"/>
      <c r="E133" s="691"/>
      <c r="F133" s="691"/>
      <c r="G133" s="691"/>
      <c r="H133" s="698">
        <f>H130</f>
        <v>2</v>
      </c>
      <c r="I133" s="698">
        <f>IF(N142=3,H133,IF(N142=1,H133-2,IF(N142=2,H133-1,IF(N142=4,H133+1,IF(N142=5,H133+2)))))</f>
        <v>2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9.5">
      <c r="A134" s="1030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0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7" t="s">
        <v>519</v>
      </c>
      <c r="L135" s="1088"/>
      <c r="M135" s="1088"/>
      <c r="N135" s="1089"/>
      <c r="O135" s="701" t="s">
        <v>520</v>
      </c>
      <c r="P135" s="701" t="s">
        <v>352</v>
      </c>
      <c r="Q135" s="701" t="s">
        <v>521</v>
      </c>
      <c r="R135" s="635"/>
    </row>
    <row r="136">
      <c r="A136" s="1030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0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0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0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0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0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0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0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0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0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0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0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0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0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.75">
      <c r="A150" s="1030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0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0" t="s">
        <v>555</v>
      </c>
      <c r="E151" s="1091"/>
      <c r="F151" s="1091"/>
      <c r="G151" s="1092"/>
      <c r="H151" s="705"/>
      <c r="I151" s="705"/>
      <c r="J151" s="1093" t="s">
        <v>556</v>
      </c>
      <c r="K151" s="1094"/>
      <c r="L151" s="1094"/>
      <c r="M151" s="1094"/>
      <c r="N151" s="1094"/>
      <c r="O151" s="1094"/>
      <c r="P151" s="1094"/>
      <c r="Q151" s="1095"/>
      <c r="R151" s="635"/>
    </row>
    <row r="152">
      <c r="A152" s="1030"/>
      <c r="B152" s="716" t="s">
        <v>557</v>
      </c>
      <c r="C152" s="717">
        <f>D110</f>
        <v>350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.75">
      <c r="A153" s="1030"/>
      <c r="B153" s="722" t="s">
        <v>559</v>
      </c>
      <c r="C153" s="723">
        <f>G242</f>
        <v>400</v>
      </c>
      <c r="D153" s="708">
        <f>IF(C152&gt;2400,8,IF(C152&gt;2000,7,IF(C152&gt;1600,6,IF(C152&gt;1200,5,IF(C152&gt;800,4,IF(C152&gt;400,3,2))))))</f>
        <v>2</v>
      </c>
      <c r="E153" s="708"/>
      <c r="F153" s="708"/>
      <c r="G153" s="711"/>
      <c r="H153" s="705"/>
      <c r="I153" s="705"/>
      <c r="J153" s="1096" t="s">
        <v>560</v>
      </c>
      <c r="K153" s="1097"/>
      <c r="L153" s="725">
        <f>C153</f>
        <v>400</v>
      </c>
      <c r="M153" s="725" t="s">
        <v>561</v>
      </c>
      <c r="N153" s="725">
        <f>INT((L153-4)/25)+1</f>
        <v>16</v>
      </c>
      <c r="O153" s="725"/>
      <c r="P153" s="725"/>
      <c r="Q153" s="726"/>
      <c r="R153" s="635"/>
    </row>
    <row r="154" ht="15.75">
      <c r="A154" s="1030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0"/>
      <c r="B155" s="1093" t="s">
        <v>562</v>
      </c>
      <c r="C155" s="1094"/>
      <c r="D155" s="1094"/>
      <c r="E155" s="1094"/>
      <c r="F155" s="1094"/>
      <c r="G155" s="1094"/>
      <c r="H155" s="1094"/>
      <c r="I155" s="1095"/>
      <c r="J155" s="1093" t="s">
        <v>563</v>
      </c>
      <c r="K155" s="1094"/>
      <c r="L155" s="1094"/>
      <c r="M155" s="1094"/>
      <c r="N155" s="1094"/>
      <c r="O155" s="1094"/>
      <c r="P155" s="1094"/>
      <c r="Q155" s="1095"/>
      <c r="R155" s="635"/>
    </row>
    <row r="156">
      <c r="A156" s="1030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0"/>
      <c r="B157" s="1085" t="s">
        <v>560</v>
      </c>
      <c r="C157" s="1086"/>
      <c r="D157" s="720">
        <f>C153</f>
        <v>400</v>
      </c>
      <c r="E157" s="720" t="s">
        <v>564</v>
      </c>
      <c r="F157" s="720">
        <f>I160</f>
        <v>5</v>
      </c>
      <c r="G157" s="720"/>
      <c r="H157" s="720"/>
      <c r="I157" s="721"/>
      <c r="J157" s="1085" t="s">
        <v>560</v>
      </c>
      <c r="K157" s="1086"/>
      <c r="L157" s="720">
        <f>C153</f>
        <v>400</v>
      </c>
      <c r="M157" s="720" t="s">
        <v>564</v>
      </c>
      <c r="N157" s="720">
        <f>Q160</f>
        <v>5</v>
      </c>
      <c r="O157" s="720"/>
      <c r="P157" s="720"/>
      <c r="Q157" s="721"/>
      <c r="R157" s="635"/>
    </row>
    <row r="158">
      <c r="A158" s="1030"/>
      <c r="B158" s="1101" t="s">
        <v>564</v>
      </c>
      <c r="C158" s="1102"/>
      <c r="D158" s="1102"/>
      <c r="E158" s="720"/>
      <c r="F158" s="720"/>
      <c r="G158" s="729"/>
      <c r="H158" s="720"/>
      <c r="I158" s="721"/>
      <c r="J158" s="1101" t="s">
        <v>565</v>
      </c>
      <c r="K158" s="1102"/>
      <c r="L158" s="1102"/>
      <c r="M158" s="720"/>
      <c r="N158" s="720"/>
      <c r="O158" s="729"/>
      <c r="P158" s="720"/>
      <c r="Q158" s="721"/>
      <c r="R158" s="635"/>
    </row>
    <row r="159">
      <c r="A159" s="1030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0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5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5</v>
      </c>
      <c r="R160" s="635"/>
    </row>
    <row r="161">
      <c r="A161" s="1030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0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0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0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0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6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6</v>
      </c>
      <c r="R165" s="635"/>
    </row>
    <row r="166">
      <c r="A166" s="1030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0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0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0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0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0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0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0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0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30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0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0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.75">
      <c r="A178" s="1030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9.5">
      <c r="A179" s="1030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0"/>
      <c r="B180" s="1103" t="s">
        <v>574</v>
      </c>
      <c r="C180" s="1104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0"/>
      <c r="B181" s="1105"/>
      <c r="C181" s="1106"/>
      <c r="D181" s="738" t="s">
        <v>580</v>
      </c>
      <c r="E181" s="739">
        <f>F110</f>
        <v>400</v>
      </c>
      <c r="F181" s="739">
        <f>F110</f>
        <v>400</v>
      </c>
      <c r="G181" s="740">
        <f>F110</f>
        <v>400</v>
      </c>
      <c r="H181" s="739">
        <f>F110</f>
        <v>400</v>
      </c>
      <c r="I181" s="741">
        <f>F110</f>
        <v>400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0"/>
      <c r="B182" s="1105"/>
      <c r="C182" s="1106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0"/>
      <c r="B183" s="1105"/>
      <c r="C183" s="1106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0"/>
      <c r="B184" s="1105"/>
      <c r="C184" s="1106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0"/>
      <c r="B185" s="1105"/>
      <c r="C185" s="1106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400</v>
      </c>
      <c r="M185" s="738">
        <f>IF(F142=1,F110-30,IF(F142=2,E186,IF(F142=3,F186,IF(F142=4,G186,IF(F142=5,H186,IF(F142=6,I186,"-----"))))))</f>
        <v>370</v>
      </c>
      <c r="N185" s="738"/>
      <c r="O185" s="738"/>
      <c r="P185" s="738"/>
      <c r="Q185" s="738"/>
      <c r="R185" s="635"/>
    </row>
    <row r="186">
      <c r="A186" s="1030"/>
      <c r="B186" s="1107"/>
      <c r="C186" s="1108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0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0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0"/>
      <c r="B189" s="1109" t="s">
        <v>588</v>
      </c>
      <c r="C189" s="1110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0"/>
      <c r="B190" s="1105"/>
      <c r="C190" s="1106"/>
      <c r="D190" s="738" t="s">
        <v>580</v>
      </c>
      <c r="E190" s="739">
        <f>F110</f>
        <v>400</v>
      </c>
      <c r="F190" s="739">
        <f>F110</f>
        <v>400</v>
      </c>
      <c r="G190" s="739">
        <f>F110</f>
        <v>400</v>
      </c>
      <c r="H190" s="739">
        <f>F110</f>
        <v>400</v>
      </c>
      <c r="I190" s="741">
        <f>F110</f>
        <v>400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0"/>
      <c r="B191" s="1105"/>
      <c r="C191" s="1106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0"/>
      <c r="B192" s="1105"/>
      <c r="C192" s="1106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0"/>
      <c r="B193" s="1105"/>
      <c r="C193" s="1106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400</v>
      </c>
      <c r="M193" s="738">
        <f>IF(F142=1,F110-30,IF(F142=2,E195,IF(F142=3,F195,IF(F142=4,G195,IF(F142=5,H195,IF(F142=6,I195))))))</f>
        <v>370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0"/>
      <c r="B194" s="1105"/>
      <c r="C194" s="1106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400</v>
      </c>
      <c r="P194" s="748">
        <f>IF(B141=1,M185,IF(B141=3,M185,IF(B141=4,M202,IF(B141=2,M202+2,IF(B141=5,M193,"------")))))</f>
        <v>372</v>
      </c>
      <c r="Q194" s="738"/>
      <c r="R194" s="635"/>
    </row>
    <row r="195">
      <c r="A195" s="1030"/>
      <c r="B195" s="1107"/>
      <c r="C195" s="1108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0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0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0"/>
      <c r="B198" s="1109" t="s">
        <v>590</v>
      </c>
      <c r="C198" s="1110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0"/>
      <c r="B199" s="1105"/>
      <c r="C199" s="1106"/>
      <c r="D199" s="738" t="s">
        <v>580</v>
      </c>
      <c r="E199" s="739">
        <f>F110</f>
        <v>400</v>
      </c>
      <c r="F199" s="739">
        <f>F110</f>
        <v>400</v>
      </c>
      <c r="G199" s="739">
        <f>F110</f>
        <v>400</v>
      </c>
      <c r="H199" s="739">
        <f>F110</f>
        <v>400</v>
      </c>
      <c r="I199" s="741">
        <f>F110</f>
        <v>400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0"/>
      <c r="B200" s="1105"/>
      <c r="C200" s="1106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0"/>
      <c r="B201" s="1105"/>
      <c r="C201" s="1106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0"/>
      <c r="B202" s="1105"/>
      <c r="C202" s="1106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400</v>
      </c>
      <c r="M202" s="738">
        <f>IF(F142=1,F110-30,IF(F142=2,E204,IF(F142=3,F204,IF(F142=4,G204,IF(F142=5,H204,IF(F142=6,I204))))))</f>
        <v>370</v>
      </c>
      <c r="N202" s="738"/>
      <c r="O202" s="738"/>
      <c r="P202" s="738"/>
      <c r="Q202" s="738"/>
      <c r="R202" s="635"/>
    </row>
    <row r="203">
      <c r="A203" s="1030"/>
      <c r="B203" s="1105"/>
      <c r="C203" s="1106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.75">
      <c r="A204" s="1030"/>
      <c r="B204" s="1111"/>
      <c r="C204" s="1112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9.5">
      <c r="A205" s="1030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.75">
      <c r="A206" s="1030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.75">
      <c r="A207" s="1030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.75">
      <c r="A208" s="1030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.75">
      <c r="A209" s="1030"/>
      <c r="B209" s="756" t="s">
        <v>593</v>
      </c>
      <c r="C209" s="760">
        <f>D110</f>
        <v>350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.75">
      <c r="A210" s="1030"/>
      <c r="B210" s="756" t="s">
        <v>583</v>
      </c>
      <c r="C210" s="760">
        <f>F110</f>
        <v>400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3</v>
      </c>
      <c r="N210" s="757"/>
      <c r="O210" s="757"/>
      <c r="P210" s="758"/>
      <c r="Q210" s="755"/>
      <c r="R210" s="635"/>
    </row>
    <row r="211" ht="18.75">
      <c r="A211" s="1030"/>
      <c r="B211" s="756" t="s">
        <v>392</v>
      </c>
      <c r="C211" s="757">
        <f>H71</f>
        <v>5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.75">
      <c r="A212" s="1030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.75">
      <c r="A213" s="1030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3</v>
      </c>
      <c r="Q213" s="755"/>
      <c r="R213" s="635"/>
    </row>
    <row r="214" ht="18.75">
      <c r="A214" s="1030"/>
      <c r="B214" s="756" t="s">
        <v>594</v>
      </c>
      <c r="C214" s="757">
        <f>P213</f>
        <v>3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.75">
      <c r="A215" s="1030"/>
      <c r="B215" s="762" t="s">
        <v>595</v>
      </c>
      <c r="C215" s="763">
        <f>(((C209-(D125*2))/200)+1)*C214</f>
        <v>6.75</v>
      </c>
      <c r="D215" s="1098" t="s">
        <v>596</v>
      </c>
      <c r="E215" s="1098"/>
      <c r="F215" s="764">
        <f>ROUND(C215,0)</f>
        <v>7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.75">
      <c r="A216" s="1030"/>
      <c r="B216" s="762" t="s">
        <v>597</v>
      </c>
      <c r="C216" s="763">
        <f>F215/C214</f>
        <v>2.3333333333333335</v>
      </c>
      <c r="D216" s="1098" t="s">
        <v>596</v>
      </c>
      <c r="E216" s="1098"/>
      <c r="F216" s="764">
        <f>ROUND(C216,0)</f>
        <v>2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.75">
      <c r="A217" s="1030"/>
      <c r="B217" s="762" t="s">
        <v>598</v>
      </c>
      <c r="C217" s="764">
        <f>F216*C214</f>
        <v>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.75">
      <c r="A218" s="1030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.75">
      <c r="A219" s="1030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.75">
      <c r="A220" s="1030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.75">
      <c r="A221" s="1030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.75">
      <c r="A222" s="1030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.75">
      <c r="A223" s="1030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.75">
      <c r="A224" s="1030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9.5">
      <c r="A225" s="1030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9.5">
      <c r="A226" s="1030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.75">
      <c r="A227" s="1030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.75">
      <c r="A228" s="1030"/>
      <c r="B228" s="772" t="str">
        <f>IF(B141=1,B136,IF(B141=2,B137,IF(B141=3,B138,IF(B141=4,B139,IF(B141=5,B140)))))</f>
        <v>EVO 150X70</v>
      </c>
      <c r="C228" s="773">
        <f>F110</f>
        <v>400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.75">
      <c r="A229" s="1030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.75">
      <c r="A230" s="1030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.75">
      <c r="A231" s="1030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.75">
      <c r="A232" s="1030"/>
      <c r="B232" s="772" t="s">
        <v>600</v>
      </c>
      <c r="C232" s="774"/>
      <c r="D232" s="774">
        <f>IF(O142=1,C228-32,IF(O142=2,C228-43,"-------"))</f>
        <v>368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.75">
      <c r="A233" s="1030"/>
      <c r="B233" s="772" t="s">
        <v>601</v>
      </c>
      <c r="C233" s="774"/>
      <c r="D233" s="774">
        <f>IF(O142=1,C228-35,IF(O142=3,C228-36,IF(O142=4,C228-32,"-------")))</f>
        <v>365</v>
      </c>
      <c r="E233" s="774"/>
      <c r="F233" s="774"/>
      <c r="G233" s="774"/>
      <c r="H233" s="774"/>
      <c r="I233" s="1099" t="s">
        <v>602</v>
      </c>
      <c r="J233" s="1099"/>
      <c r="K233" s="1099"/>
      <c r="L233" s="1100"/>
      <c r="M233" s="527"/>
      <c r="N233" s="527"/>
      <c r="O233" s="527"/>
      <c r="P233" s="527"/>
      <c r="Q233" s="677"/>
      <c r="R233" s="635"/>
    </row>
    <row r="234" ht="18.75">
      <c r="A234" s="1030"/>
      <c r="B234" s="772" t="s">
        <v>603</v>
      </c>
      <c r="C234" s="774"/>
      <c r="D234" s="774">
        <f>IF(O142=1,C228-32,"-------")</f>
        <v>368</v>
      </c>
      <c r="E234" s="774"/>
      <c r="F234" s="774"/>
      <c r="G234" s="774">
        <f>IF(B141=1,D232,IF(B141=2,D233,IF(B141=3,D234,IF(B141=4,D235,IF(B141=5,D236)))))</f>
        <v>365</v>
      </c>
      <c r="H234" s="774"/>
      <c r="I234" s="1099"/>
      <c r="J234" s="1099"/>
      <c r="K234" s="1099"/>
      <c r="L234" s="1100"/>
      <c r="M234" s="527"/>
      <c r="N234" s="527"/>
      <c r="O234" s="527"/>
      <c r="P234" s="527"/>
      <c r="Q234" s="677"/>
      <c r="R234" s="635"/>
    </row>
    <row r="235" ht="18.75">
      <c r="A235" s="1030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099"/>
      <c r="J235" s="1099"/>
      <c r="K235" s="1099"/>
      <c r="L235" s="1100"/>
      <c r="M235" s="527"/>
      <c r="N235" s="527"/>
      <c r="O235" s="527"/>
      <c r="P235" s="527"/>
      <c r="Q235" s="677"/>
      <c r="R235" s="635"/>
    </row>
    <row r="236" ht="18.75">
      <c r="A236" s="1030"/>
      <c r="B236" s="772" t="s">
        <v>605</v>
      </c>
      <c r="C236" s="774"/>
      <c r="D236" s="774">
        <f>C228-32</f>
        <v>368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.75">
      <c r="A237" s="1030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.75">
      <c r="A238" s="1030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.75">
      <c r="A239" s="1030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.75">
      <c r="A240" s="1030"/>
      <c r="B240" s="772" t="s">
        <v>600</v>
      </c>
      <c r="C240" s="774"/>
      <c r="D240" s="774">
        <f>IF(O142=1,C228,IF(O142=2,C228-11,"-------"))</f>
        <v>400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.75">
      <c r="A241" s="1030"/>
      <c r="B241" s="772" t="s">
        <v>601</v>
      </c>
      <c r="C241" s="774"/>
      <c r="D241" s="774">
        <f>IF(O142=3,C228-5,IF(O142=1,C228,IF(O142=4,C228,"-------")))</f>
        <v>400</v>
      </c>
      <c r="E241" s="774"/>
      <c r="F241" s="774"/>
      <c r="G241" s="774"/>
      <c r="H241" s="774"/>
      <c r="I241" s="1099" t="s">
        <v>606</v>
      </c>
      <c r="J241" s="1099"/>
      <c r="K241" s="1099"/>
      <c r="L241" s="1100"/>
      <c r="M241" s="527"/>
      <c r="N241" s="527"/>
      <c r="O241" s="527"/>
      <c r="P241" s="527"/>
      <c r="Q241" s="677"/>
      <c r="R241" s="635"/>
    </row>
    <row r="242" ht="18.75">
      <c r="A242" s="1030"/>
      <c r="B242" s="772" t="s">
        <v>603</v>
      </c>
      <c r="C242" s="774"/>
      <c r="D242" s="774">
        <f>IF(O142=1,C228,"-------")</f>
        <v>400</v>
      </c>
      <c r="E242" s="774"/>
      <c r="F242" s="774"/>
      <c r="G242" s="774">
        <f>IF(B141=1,D240,IF(B141=2,D241,IF(B141=3,D242,IF(B141=4,D243,IF(B141=5,#REF!)))))</f>
        <v>400</v>
      </c>
      <c r="H242" s="774"/>
      <c r="I242" s="1099"/>
      <c r="J242" s="1099"/>
      <c r="K242" s="1099"/>
      <c r="L242" s="1100"/>
      <c r="M242" s="527"/>
      <c r="N242" s="527"/>
      <c r="O242" s="527"/>
      <c r="P242" s="527"/>
      <c r="Q242" s="677"/>
      <c r="R242" s="635"/>
    </row>
    <row r="243" ht="18.75">
      <c r="A243" s="1030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099"/>
      <c r="J243" s="1099"/>
      <c r="K243" s="1099"/>
      <c r="L243" s="1100"/>
      <c r="M243" s="527"/>
      <c r="N243" s="527"/>
      <c r="O243" s="527"/>
      <c r="P243" s="527"/>
      <c r="Q243" s="677"/>
      <c r="R243" s="635"/>
    </row>
    <row r="244" ht="18.75">
      <c r="A244" s="1030"/>
      <c r="B244" s="772" t="s">
        <v>605</v>
      </c>
      <c r="C244" s="774"/>
      <c r="D244" s="774">
        <f>C228</f>
        <v>400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9.5">
      <c r="A245" s="1030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3"/>
      <c r="B246" s="1023"/>
      <c r="C246" s="1023"/>
      <c r="D246" s="1023"/>
      <c r="E246" s="1023"/>
      <c r="F246" s="1023"/>
      <c r="G246" s="1023"/>
      <c r="H246" s="1023"/>
      <c r="I246" s="1023"/>
      <c r="J246" s="1023"/>
      <c r="K246" s="1023"/>
      <c r="L246" s="1023"/>
      <c r="M246" s="1023"/>
      <c r="N246" s="1023"/>
      <c r="O246" s="1023"/>
      <c r="P246" s="1023"/>
      <c r="Q246" s="1023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1</xdr:col>
                    <xdr:colOff>1771650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19050</xdr:rowOff>
                  </from>
                  <to>
                    <xdr:col>1</xdr:col>
                    <xdr:colOff>1771650</xdr:colOff>
                    <xdr:row>106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19050</xdr:rowOff>
                  </from>
                  <to>
                    <xdr:col>1</xdr:col>
                    <xdr:colOff>1771650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9525</xdr:rowOff>
                  </from>
                  <to>
                    <xdr:col>1</xdr:col>
                    <xdr:colOff>1781175</xdr:colOff>
                    <xdr:row>110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9525</xdr:rowOff>
                  </from>
                  <to>
                    <xdr:col>1</xdr:col>
                    <xdr:colOff>1781175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19050</xdr:rowOff>
                  </from>
                  <to>
                    <xdr:col>1</xdr:col>
                    <xdr:colOff>1781175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19050</xdr:rowOff>
                  </from>
                  <to>
                    <xdr:col>1</xdr:col>
                    <xdr:colOff>1781175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1781175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19050</xdr:rowOff>
                  </from>
                  <to>
                    <xdr:col>1</xdr:col>
                    <xdr:colOff>1781175</xdr:colOff>
                    <xdr:row>114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19050</xdr:rowOff>
                  </from>
                  <to>
                    <xdr:col>1</xdr:col>
                    <xdr:colOff>1771650</xdr:colOff>
                    <xdr:row>129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9525</xdr:rowOff>
                  </from>
                  <to>
                    <xdr:col>1</xdr:col>
                    <xdr:colOff>1771650</xdr:colOff>
                    <xdr:row>129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9525</xdr:rowOff>
                  </from>
                  <to>
                    <xdr:col>1</xdr:col>
                    <xdr:colOff>1771650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9525</xdr:rowOff>
                  </from>
                  <to>
                    <xdr:col>0</xdr:col>
                    <xdr:colOff>581025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9525</xdr:rowOff>
                  </from>
                  <to>
                    <xdr:col>1</xdr:col>
                    <xdr:colOff>666750</xdr:colOff>
                    <xdr:row>116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19050</xdr:rowOff>
                  </from>
                  <to>
                    <xdr:col>1</xdr:col>
                    <xdr:colOff>666750</xdr:colOff>
                    <xdr:row>118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9525</xdr:rowOff>
                  </from>
                  <to>
                    <xdr:col>1</xdr:col>
                    <xdr:colOff>1771650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9525</xdr:colOff>
                    <xdr:row>105</xdr:row>
                    <xdr:rowOff>9525</xdr:rowOff>
                  </from>
                  <to>
                    <xdr:col>5</xdr:col>
                    <xdr:colOff>9525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9525</xdr:colOff>
                    <xdr:row>106</xdr:row>
                    <xdr:rowOff>19050</xdr:rowOff>
                  </from>
                  <to>
                    <xdr:col>5</xdr:col>
                    <xdr:colOff>9525</xdr:colOff>
                    <xdr:row>107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9525</xdr:colOff>
                    <xdr:row>107</xdr:row>
                    <xdr:rowOff>19050</xdr:rowOff>
                  </from>
                  <to>
                    <xdr:col>5</xdr:col>
                    <xdr:colOff>9525</xdr:colOff>
                    <xdr:row>108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9525</xdr:rowOff>
                  </from>
                  <to>
                    <xdr:col>5</xdr:col>
                    <xdr:colOff>9525</xdr:colOff>
                    <xdr:row>111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9525</xdr:rowOff>
                  </from>
                  <to>
                    <xdr:col>5</xdr:col>
                    <xdr:colOff>9525</xdr:colOff>
                    <xdr:row>112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19050</xdr:rowOff>
                  </from>
                  <to>
                    <xdr:col>5</xdr:col>
                    <xdr:colOff>9525</xdr:colOff>
                    <xdr:row>116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19050</xdr:rowOff>
                  </from>
                  <to>
                    <xdr:col>5</xdr:col>
                    <xdr:colOff>9525</xdr:colOff>
                    <xdr:row>117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9525</xdr:rowOff>
                  </from>
                  <to>
                    <xdr:col>5</xdr:col>
                    <xdr:colOff>9525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19050</xdr:rowOff>
                  </from>
                  <to>
                    <xdr:col>5</xdr:col>
                    <xdr:colOff>9525</xdr:colOff>
                    <xdr:row>115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9525</xdr:colOff>
                    <xdr:row>129</xdr:row>
                    <xdr:rowOff>19050</xdr:rowOff>
                  </from>
                  <to>
                    <xdr:col>5</xdr:col>
                    <xdr:colOff>9525</xdr:colOff>
                    <xdr:row>130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9525</xdr:colOff>
                    <xdr:row>130</xdr:row>
                    <xdr:rowOff>9525</xdr:rowOff>
                  </from>
                  <to>
                    <xdr:col>5</xdr:col>
                    <xdr:colOff>9525</xdr:colOff>
                    <xdr:row>130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9525</xdr:colOff>
                    <xdr:row>131</xdr:row>
                    <xdr:rowOff>9525</xdr:rowOff>
                  </from>
                  <to>
                    <xdr:col>5</xdr:col>
                    <xdr:colOff>9525</xdr:colOff>
                    <xdr:row>131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9525</xdr:colOff>
                    <xdr:row>105</xdr:row>
                    <xdr:rowOff>9525</xdr:rowOff>
                  </from>
                  <to>
                    <xdr:col>8</xdr:col>
                    <xdr:colOff>571500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9525</xdr:rowOff>
                  </from>
                  <to>
                    <xdr:col>7</xdr:col>
                    <xdr:colOff>657225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19050</xdr:rowOff>
                  </from>
                  <to>
                    <xdr:col>7</xdr:col>
                    <xdr:colOff>657225</xdr:colOff>
                    <xdr:row>119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9525</xdr:colOff>
                    <xdr:row>132</xdr:row>
                    <xdr:rowOff>9525</xdr:rowOff>
                  </from>
                  <to>
                    <xdr:col>5</xdr:col>
                    <xdr:colOff>9525</xdr:colOff>
                    <xdr:row>132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925" t="s">
        <v>336</v>
      </c>
      <c r="K1" s="925"/>
      <c r="L1" s="925"/>
      <c r="M1" s="925"/>
      <c r="N1" s="925"/>
      <c r="O1" s="925"/>
      <c r="P1" s="925"/>
      <c r="Q1" s="925"/>
      <c r="R1" s="925"/>
      <c r="S1" s="925"/>
    </row>
    <row r="2" ht="18" customHeight="1">
      <c r="A2" s="11" t="s">
        <v>337</v>
      </c>
      <c r="B2" s="918">
        <f>Royal!C3</f>
        <v>0</v>
      </c>
      <c r="C2" s="919"/>
      <c r="D2" s="919"/>
      <c r="E2" s="919"/>
      <c r="F2" s="920"/>
      <c r="G2" s="1">
        <v>2</v>
      </c>
      <c r="J2" s="925"/>
      <c r="K2" s="925"/>
      <c r="L2" s="925"/>
      <c r="M2" s="925"/>
      <c r="N2" s="925"/>
      <c r="O2" s="925"/>
      <c r="P2" s="925"/>
      <c r="Q2" s="925"/>
      <c r="R2" s="925"/>
      <c r="S2" s="925"/>
    </row>
    <row r="3" ht="18" customHeight="1">
      <c r="A3" s="11" t="s">
        <v>338</v>
      </c>
      <c r="F3" s="917" t="s">
        <v>339</v>
      </c>
      <c r="G3" s="917"/>
    </row>
    <row r="4" ht="18" customHeight="1">
      <c r="A4" s="11" t="s">
        <v>340</v>
      </c>
      <c r="F4" s="921" t="s">
        <v>341</v>
      </c>
      <c r="G4" s="922"/>
      <c r="H4" s="922"/>
      <c r="I4" s="923"/>
      <c r="J4" s="10"/>
    </row>
    <row r="5" ht="18" customHeight="1">
      <c r="A5" s="11" t="s">
        <v>342</v>
      </c>
      <c r="F5" s="924" t="s">
        <v>343</v>
      </c>
      <c r="G5" s="915"/>
      <c r="H5" s="915"/>
      <c r="I5" s="916"/>
      <c r="J5" s="10"/>
    </row>
    <row r="6" ht="18" customHeight="1">
      <c r="A6" s="11" t="s">
        <v>344</v>
      </c>
      <c r="Q6" s="909"/>
      <c r="R6" s="909"/>
      <c r="S6" s="909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4" t="s">
        <v>348</v>
      </c>
      <c r="C11" s="905"/>
      <c r="D11" s="915" t="s">
        <v>349</v>
      </c>
      <c r="E11" s="916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09"/>
      <c r="R15" s="909"/>
      <c r="S15" s="909"/>
    </row>
    <row r="16" ht="18" customHeight="1">
      <c r="C16" s="917" t="s">
        <v>353</v>
      </c>
      <c r="D16" s="917"/>
      <c r="E16" s="917"/>
      <c r="F16" s="1" t="s">
        <v>354</v>
      </c>
    </row>
    <row r="17" ht="18" customHeight="1">
      <c r="A17" s="917" t="s">
        <v>355</v>
      </c>
      <c r="B17" s="917"/>
      <c r="C17" s="917"/>
    </row>
    <row r="18" ht="18" customHeight="1">
      <c r="A18" s="906" t="s">
        <v>356</v>
      </c>
      <c r="B18" s="907"/>
      <c r="C18" s="14">
        <f>'Format Φωτισμου (2)'!B9</f>
        <v>3</v>
      </c>
    </row>
    <row r="19" ht="18" customHeight="1">
      <c r="A19" s="906" t="s">
        <v>357</v>
      </c>
      <c r="B19" s="907"/>
      <c r="C19" s="14">
        <f>'Format Φωτισμου (2)'!B12</f>
        <v>9</v>
      </c>
    </row>
    <row r="20" ht="18" customHeight="1">
      <c r="A20" s="906" t="s">
        <v>358</v>
      </c>
      <c r="B20" s="907"/>
      <c r="C20" s="14">
        <f>C19/C18</f>
        <v>3</v>
      </c>
    </row>
    <row r="21" ht="18" customHeight="1">
      <c r="A21" s="911" t="s">
        <v>359</v>
      </c>
      <c r="B21" s="912"/>
      <c r="C21" s="913">
        <v>20</v>
      </c>
      <c r="D21" s="914"/>
      <c r="E21" s="904" t="s">
        <v>360</v>
      </c>
      <c r="F21" s="905"/>
      <c r="G21" s="905"/>
      <c r="H21" s="14">
        <f>C21/C18</f>
        <v>6.666666666666667</v>
      </c>
      <c r="J21" s="910"/>
      <c r="K21" s="910"/>
      <c r="L21" s="910"/>
      <c r="M21" s="910"/>
      <c r="N21" s="910"/>
      <c r="O21" s="910"/>
      <c r="P21" s="910"/>
      <c r="Q21" s="910"/>
      <c r="R21" s="910"/>
      <c r="S21" s="910"/>
    </row>
    <row r="22" ht="18" customHeight="1">
      <c r="A22" s="906" t="s">
        <v>361</v>
      </c>
      <c r="B22" s="907"/>
      <c r="C22" s="179">
        <v>50</v>
      </c>
      <c r="D22" s="184" t="s">
        <v>362</v>
      </c>
      <c r="J22" s="910"/>
      <c r="K22" s="910"/>
      <c r="L22" s="910"/>
      <c r="M22" s="910"/>
      <c r="N22" s="910"/>
      <c r="O22" s="910"/>
      <c r="P22" s="910"/>
      <c r="Q22" s="910"/>
      <c r="R22" s="910"/>
      <c r="S22" s="910"/>
    </row>
    <row r="23" ht="18" customHeight="1">
      <c r="J23" s="910"/>
      <c r="K23" s="910"/>
      <c r="L23" s="910"/>
      <c r="M23" s="910"/>
      <c r="N23" s="910"/>
      <c r="O23" s="910"/>
      <c r="P23" s="910"/>
      <c r="Q23" s="910"/>
      <c r="R23" s="910"/>
      <c r="S23" s="910"/>
    </row>
    <row r="24" ht="18" customHeight="1"/>
    <row r="25" ht="18" customHeight="1">
      <c r="A25" s="11" t="s">
        <v>363</v>
      </c>
      <c r="J25" s="908"/>
      <c r="K25" s="908"/>
      <c r="L25" s="908"/>
      <c r="M25" s="908"/>
      <c r="N25" s="908"/>
      <c r="O25" s="908"/>
      <c r="P25" s="908"/>
      <c r="Q25" s="908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9"/>
      <c r="K27" s="909"/>
      <c r="L27" s="909"/>
      <c r="M27" s="909"/>
      <c r="N27" s="909"/>
      <c r="O27" s="909"/>
      <c r="P27" s="909"/>
      <c r="Q27" s="909"/>
      <c r="R27" s="909"/>
      <c r="S27" s="909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0.7109375" customWidth="1" style="60"/>
    <col min="22" max="22" width="19" customWidth="1" style="60"/>
    <col min="23" max="23" width="18.140625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1004" t="s">
        <v>607</v>
      </c>
      <c r="B1" s="1005"/>
      <c r="C1" s="1005"/>
      <c r="D1" s="1005"/>
      <c r="E1" s="1005"/>
      <c r="F1" s="1005"/>
      <c r="G1" s="1005"/>
      <c r="H1" s="1005"/>
      <c r="I1" s="1005"/>
      <c r="J1" s="1005"/>
      <c r="K1" s="1005"/>
      <c r="L1" s="1005"/>
      <c r="M1" s="1005"/>
      <c r="N1" s="1006"/>
      <c r="O1" s="87"/>
      <c r="P1" s="88"/>
      <c r="Q1" s="88"/>
      <c r="R1" s="88"/>
      <c r="W1" s="136">
        <f>IF(تسعير!T26="سادة",Royal2!J2+20000,IF(تسعير!T26="خشبي",Royal2!J2+40000,0))</f>
        <v>292000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9" t="s">
        <v>337</v>
      </c>
      <c r="B3" s="1019"/>
      <c r="C3" s="1019"/>
      <c r="D3" s="1021">
        <f>تسجيل1!B2</f>
        <v>0</v>
      </c>
      <c r="E3" s="1021"/>
      <c r="F3" s="1021"/>
      <c r="G3" s="1021"/>
      <c r="H3" s="1021"/>
      <c r="I3" s="1021"/>
      <c r="J3" s="1021"/>
      <c r="K3" s="1021"/>
      <c r="L3" s="1021"/>
      <c r="M3" s="1007" t="s">
        <v>371</v>
      </c>
      <c r="N3" s="1007"/>
      <c r="O3" s="89"/>
      <c r="P3" s="90"/>
      <c r="Q3" s="90"/>
      <c r="R3" s="90"/>
      <c r="Z3" s="151"/>
      <c r="AA3" s="60"/>
      <c r="AB3" s="60"/>
    </row>
    <row r="4" ht="13.5" customHeight="1">
      <c r="A4" s="1020"/>
      <c r="B4" s="1020"/>
      <c r="C4" s="1020"/>
      <c r="D4" s="1022"/>
      <c r="E4" s="1022"/>
      <c r="F4" s="1022"/>
      <c r="G4" s="1021"/>
      <c r="H4" s="1021"/>
      <c r="I4" s="1022"/>
      <c r="J4" s="1022"/>
      <c r="K4" s="1022"/>
      <c r="L4" s="1022"/>
      <c r="M4" s="1008"/>
      <c r="N4" s="1008"/>
      <c r="O4" s="91"/>
      <c r="P4" s="92"/>
      <c r="Q4" s="92"/>
      <c r="R4" s="92"/>
      <c r="Z4" s="151"/>
      <c r="AA4" s="60"/>
      <c r="AB4" s="60"/>
    </row>
    <row r="5" ht="13.5" customHeight="1">
      <c r="A5" s="1009" t="e">
        <f>Y1</f>
        <v>#REF!</v>
      </c>
      <c r="B5" s="1010"/>
      <c r="C5" s="1011"/>
      <c r="D5" s="1012" t="s">
        <v>370</v>
      </c>
      <c r="E5" s="1013"/>
      <c r="F5" s="1014"/>
      <c r="G5" s="63"/>
      <c r="H5" s="63"/>
      <c r="I5" s="1009">
        <f>W1</f>
        <v>292000</v>
      </c>
      <c r="J5" s="1010"/>
      <c r="K5" s="1011"/>
      <c r="L5" s="1012" t="s">
        <v>372</v>
      </c>
      <c r="M5" s="1013"/>
      <c r="N5" s="1014"/>
      <c r="O5" s="93"/>
      <c r="P5" s="92"/>
      <c r="Q5" s="92"/>
      <c r="R5" s="92"/>
      <c r="Z5" s="151"/>
      <c r="AA5" s="60"/>
      <c r="AB5" s="60"/>
    </row>
    <row r="6" ht="16.5" customHeight="1">
      <c r="A6" s="951" t="s">
        <v>373</v>
      </c>
      <c r="B6" s="952"/>
      <c r="C6" s="953"/>
      <c r="D6" s="945" t="s">
        <v>374</v>
      </c>
      <c r="E6" s="1015" t="s">
        <v>344</v>
      </c>
      <c r="F6" s="1016"/>
      <c r="G6" s="988"/>
      <c r="H6" s="988"/>
      <c r="I6" s="1016"/>
      <c r="J6" s="1017"/>
      <c r="K6" s="1018">
        <f>تسجيل2!C7</f>
        <v>400</v>
      </c>
      <c r="L6" s="1018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951"/>
      <c r="B7" s="952"/>
      <c r="C7" s="953"/>
      <c r="D7" s="945"/>
      <c r="E7" s="987" t="s">
        <v>376</v>
      </c>
      <c r="F7" s="988"/>
      <c r="G7" s="988"/>
      <c r="H7" s="988"/>
      <c r="I7" s="988"/>
      <c r="J7" s="989"/>
      <c r="K7" s="990">
        <f>K6*N6/10000</f>
        <v>16</v>
      </c>
      <c r="L7" s="990"/>
      <c r="M7" s="990"/>
      <c r="N7" s="98" t="s">
        <v>377</v>
      </c>
      <c r="O7" s="99">
        <f>AA41/K7</f>
        <v>2907.2003302590206</v>
      </c>
      <c r="S7" s="60" t="s">
        <v>127</v>
      </c>
      <c r="T7" s="61" t="s">
        <v>378</v>
      </c>
      <c r="Z7" s="151"/>
      <c r="AA7" s="60"/>
      <c r="AB7" s="60"/>
    </row>
    <row r="8">
      <c r="A8" s="954"/>
      <c r="B8" s="955"/>
      <c r="C8" s="956"/>
      <c r="D8" s="946"/>
      <c r="E8" s="991" t="s">
        <v>379</v>
      </c>
      <c r="F8" s="992"/>
      <c r="G8" s="992"/>
      <c r="H8" s="992"/>
      <c r="I8" s="992"/>
      <c r="J8" s="993"/>
      <c r="K8" s="994">
        <f>K6-1</f>
        <v>399</v>
      </c>
      <c r="L8" s="994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46515.205284144329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5" t="s">
        <v>381</v>
      </c>
      <c r="B10" s="995"/>
      <c r="C10" s="995"/>
      <c r="D10" s="995"/>
      <c r="E10" s="995"/>
      <c r="F10" s="995"/>
      <c r="G10" s="996" t="s">
        <v>324</v>
      </c>
      <c r="H10" s="996"/>
      <c r="I10" s="996" t="s">
        <v>382</v>
      </c>
      <c r="J10" s="996"/>
      <c r="K10" s="104"/>
      <c r="L10" s="997" t="s">
        <v>366</v>
      </c>
      <c r="M10" s="997"/>
      <c r="N10" s="997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8" t="s">
        <v>389</v>
      </c>
      <c r="B11" s="999"/>
      <c r="C11" s="999"/>
      <c r="D11" s="999"/>
      <c r="E11" s="999"/>
      <c r="F11" s="1000"/>
      <c r="G11" s="1001">
        <f>L11</f>
        <v>2</v>
      </c>
      <c r="H11" s="1001"/>
      <c r="I11" s="1002">
        <f>'Format διαστασης οδηγου (2)'!F8</f>
        <v>365</v>
      </c>
      <c r="J11" s="1002"/>
      <c r="K11" s="106"/>
      <c r="L11" s="997">
        <f>IF((تسعير!U31=Sheet2!A6),2,IF(Format!A7=1,تسجيل2!H27,IF(Format!A7=2,تسجيل2!H27,IF(Format!A7=3,تسجيل2!H27,IF(Format!A7=4,تسجيل2!H27,IF(Format!A7=5,تسجيل2!H27,"-------"))))))</f>
        <v>2</v>
      </c>
      <c r="M11" s="997"/>
      <c r="N11" s="997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9759.2467532467635</v>
      </c>
      <c r="Z11" s="151"/>
      <c r="AA11" s="60"/>
      <c r="AB11" s="60"/>
    </row>
    <row r="12" ht="20.1" customHeight="1">
      <c r="A12" s="975" t="s">
        <v>390</v>
      </c>
      <c r="B12" s="975"/>
      <c r="C12" s="975"/>
      <c r="D12" s="975"/>
      <c r="E12" s="975"/>
      <c r="F12" s="975"/>
      <c r="G12" s="976">
        <f>IF(L11&gt;2,4,IF(L11=2,2))</f>
        <v>2</v>
      </c>
      <c r="H12" s="976"/>
      <c r="I12" s="97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4353.8073089700938</v>
      </c>
      <c r="Z12" s="151"/>
      <c r="AA12" s="60"/>
      <c r="AB12" s="60"/>
    </row>
    <row r="13" ht="20.1" customHeight="1">
      <c r="A13" s="975" t="s">
        <v>391</v>
      </c>
      <c r="B13" s="975"/>
      <c r="C13" s="975"/>
      <c r="D13" s="975"/>
      <c r="E13" s="975"/>
      <c r="F13" s="975"/>
      <c r="G13" s="976" t="str">
        <f>IF(L11&lt;=3,"0",(L11-3)*2)</f>
        <v>0</v>
      </c>
      <c r="H13" s="976"/>
      <c r="I13" s="977">
        <f>IF(G13="-------","-------",L17-5)</f>
        <v>386</v>
      </c>
      <c r="J13" s="977"/>
      <c r="K13" s="106"/>
      <c r="L13" s="986" t="s">
        <v>392</v>
      </c>
      <c r="M13" s="986"/>
      <c r="N13" s="986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5" t="s">
        <v>393</v>
      </c>
      <c r="B14" s="975"/>
      <c r="C14" s="975"/>
      <c r="D14" s="975"/>
      <c r="E14" s="975"/>
      <c r="F14" s="975"/>
      <c r="G14" s="976">
        <f>IF(L11&gt;2,2*L14,IF(L11=2,L14))</f>
        <v>5</v>
      </c>
      <c r="H14" s="976"/>
      <c r="I14" s="977">
        <f>I12</f>
        <v>399</v>
      </c>
      <c r="J14" s="977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6142.0689655172155</v>
      </c>
      <c r="Z14" s="151"/>
      <c r="AA14" s="60"/>
      <c r="AB14" s="60"/>
    </row>
    <row r="15" ht="20.1" customHeight="1">
      <c r="A15" s="975" t="s">
        <v>395</v>
      </c>
      <c r="B15" s="975"/>
      <c r="C15" s="975"/>
      <c r="D15" s="975"/>
      <c r="E15" s="975"/>
      <c r="F15" s="975"/>
      <c r="G15" s="976" t="str">
        <f>IF(L11&lt;=3,"0",(L11-3)*L14)</f>
        <v>0</v>
      </c>
      <c r="H15" s="976"/>
      <c r="I15" s="977">
        <f>IF(G15="-------","---------",I13)</f>
        <v>386</v>
      </c>
      <c r="J15" s="97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5" t="s">
        <v>396</v>
      </c>
      <c r="B16" s="975"/>
      <c r="C16" s="975"/>
      <c r="D16" s="975"/>
      <c r="E16" s="975"/>
      <c r="F16" s="975"/>
      <c r="G16" s="976">
        <v>1</v>
      </c>
      <c r="H16" s="976"/>
      <c r="I16" s="97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7"/>
      <c r="K16" s="106"/>
      <c r="L16" s="970" t="s">
        <v>397</v>
      </c>
      <c r="M16" s="970"/>
      <c r="N16" s="970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1629.2102564102622</v>
      </c>
      <c r="Z16" s="151"/>
      <c r="AA16" s="60"/>
      <c r="AB16" s="60"/>
    </row>
    <row r="17" ht="20.1" customHeight="1">
      <c r="A17" s="975" t="s">
        <v>398</v>
      </c>
      <c r="B17" s="975"/>
      <c r="C17" s="975"/>
      <c r="D17" s="975"/>
      <c r="E17" s="975"/>
      <c r="F17" s="975"/>
      <c r="G17" s="976" t="str">
        <f>IF(L11=2,"0",1)</f>
        <v>0</v>
      </c>
      <c r="H17" s="976"/>
      <c r="I17" s="977">
        <f>IF(G17="-------","-------",IF(Format!A7=1,(L17+3),IF(Format!A7=2,(L17+3.5),IF(Format!A7=3,(L17+3),IF(Format!A7=4,(L17+4.25),IF(Format!A7=5,(L17+5),"--------"))))))</f>
        <v>394.5</v>
      </c>
      <c r="J17" s="977"/>
      <c r="K17" s="106"/>
      <c r="L17" s="985">
        <f>IF(Format!A7=1,(K6-2-6)/(L11-1),IF(Format!A7=2,(K6-2-7)/(L11-1),IF(Format!A7=3,(K6-2-6)/(L11-1),IF(Format!A7=4,(K6-2-8.5)/(L11-1),IF(Format!A7=5,(K6-2-10)/(L11-1),"--------")))))</f>
        <v>391</v>
      </c>
      <c r="M17" s="985"/>
      <c r="N17" s="985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5" t="s">
        <v>399</v>
      </c>
      <c r="B18" s="975"/>
      <c r="C18" s="975"/>
      <c r="D18" s="975"/>
      <c r="E18" s="975"/>
      <c r="F18" s="975"/>
      <c r="G18" s="976" t="str">
        <f>IF(L11&lt;=3,"0",(L11-3))</f>
        <v>0</v>
      </c>
      <c r="H18" s="976"/>
      <c r="I18" s="977">
        <f>IF(G18="-------","-------",L17)</f>
        <v>391</v>
      </c>
      <c r="J18" s="97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5" t="str">
        <f>IF(Format!H4=1,"Balloon","-------")</f>
        <v>-------</v>
      </c>
      <c r="B19" s="975"/>
      <c r="C19" s="975"/>
      <c r="D19" s="975"/>
      <c r="E19" s="975"/>
      <c r="F19" s="975"/>
      <c r="G19" s="976" t="str">
        <f>IF([1]Format!H4=1,'[1]تقطيع البرجولة'!L14,"0")</f>
        <v>0</v>
      </c>
      <c r="H19" s="976"/>
      <c r="I19" s="977">
        <f>IF(G19="-------","-------",K6-2.5)</f>
        <v>397.5</v>
      </c>
      <c r="J19" s="977"/>
      <c r="K19" s="106"/>
      <c r="L19" s="978" t="s">
        <v>347</v>
      </c>
      <c r="M19" s="979"/>
      <c r="N19" s="980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1" t="s">
        <v>400</v>
      </c>
      <c r="B20" s="982"/>
      <c r="C20" s="982"/>
      <c r="D20" s="982"/>
      <c r="E20" s="982"/>
      <c r="F20" s="983"/>
      <c r="G20" s="981">
        <f>(G12+G13)/2</f>
        <v>1</v>
      </c>
      <c r="H20" s="982"/>
      <c r="I20" s="977">
        <f>L17-7</f>
        <v>384</v>
      </c>
      <c r="J20" s="977"/>
      <c r="K20" s="106"/>
      <c r="L20" s="114" t="s">
        <v>324</v>
      </c>
      <c r="M20" s="984" t="s">
        <v>401</v>
      </c>
      <c r="N20" s="984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1927.1999999999998</v>
      </c>
      <c r="Z20" s="151"/>
      <c r="AA20" s="60"/>
      <c r="AB20" s="60"/>
    </row>
    <row r="21" ht="20.1" customHeight="1">
      <c r="A21" s="967" t="s">
        <v>402</v>
      </c>
      <c r="B21" s="967"/>
      <c r="C21" s="967"/>
      <c r="D21" s="967"/>
      <c r="E21" s="967"/>
      <c r="F21" s="967"/>
      <c r="G21" s="968">
        <f>L11</f>
        <v>2</v>
      </c>
      <c r="H21" s="968"/>
      <c r="I21" s="969">
        <f>(I11*2)+45</f>
        <v>775</v>
      </c>
      <c r="J21" s="969"/>
      <c r="K21" s="106"/>
      <c r="L21" s="112">
        <f>IF(Format!E7=1,"-------",IF(Format!E7=5,"-------",تسجيل2!H30))</f>
        <v>2</v>
      </c>
      <c r="M21" s="970" t="str">
        <f>IF(L21="-------","-------",تسجيل2!D11)</f>
        <v>4Χ220- 1Χ250</v>
      </c>
      <c r="N21" s="970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24596.833284144333</v>
      </c>
      <c r="Z22" s="151"/>
      <c r="AA22" s="60"/>
      <c r="AB22" s="60"/>
    </row>
    <row r="23" ht="20.1" customHeight="1">
      <c r="A23" s="971" t="s">
        <v>403</v>
      </c>
      <c r="B23" s="972"/>
      <c r="C23" s="972"/>
      <c r="D23" s="972"/>
      <c r="E23" s="973"/>
      <c r="F23" s="67" t="s">
        <v>404</v>
      </c>
      <c r="G23" s="68"/>
      <c r="H23" s="971" t="s">
        <v>405</v>
      </c>
      <c r="I23" s="972"/>
      <c r="J23" s="972"/>
      <c r="K23" s="972"/>
      <c r="L23" s="973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4" t="s">
        <v>410</v>
      </c>
      <c r="C24" s="974"/>
      <c r="D24" s="974"/>
      <c r="E24" s="974"/>
      <c r="F24" s="70">
        <f>L11</f>
        <v>2</v>
      </c>
      <c r="G24" s="71"/>
      <c r="H24" s="69">
        <v>16</v>
      </c>
      <c r="I24" s="974" t="s">
        <v>352</v>
      </c>
      <c r="J24" s="974"/>
      <c r="K24" s="974"/>
      <c r="L24" s="974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0" t="s">
        <v>411</v>
      </c>
      <c r="C25" s="960"/>
      <c r="D25" s="960"/>
      <c r="E25" s="960"/>
      <c r="F25" s="73">
        <f>L11</f>
        <v>2</v>
      </c>
      <c r="G25" s="71"/>
      <c r="H25" s="72">
        <v>17</v>
      </c>
      <c r="I25" s="960" t="s">
        <v>412</v>
      </c>
      <c r="J25" s="960"/>
      <c r="K25" s="960"/>
      <c r="L25" s="960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0" t="s">
        <v>413</v>
      </c>
      <c r="C26" s="960"/>
      <c r="D26" s="960"/>
      <c r="E26" s="960"/>
      <c r="F26" s="73">
        <f>M24</f>
        <v>1</v>
      </c>
      <c r="G26" s="71"/>
      <c r="H26" s="72">
        <v>18</v>
      </c>
      <c r="I26" s="960" t="s">
        <v>414</v>
      </c>
      <c r="J26" s="960"/>
      <c r="K26" s="960"/>
      <c r="L26" s="960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7" t="s">
        <v>415</v>
      </c>
      <c r="C27" s="958"/>
      <c r="D27" s="958"/>
      <c r="E27" s="959"/>
      <c r="F27" s="73">
        <v>4</v>
      </c>
      <c r="G27" s="71"/>
      <c r="H27" s="72">
        <v>19</v>
      </c>
      <c r="I27" s="960" t="s">
        <v>416</v>
      </c>
      <c r="J27" s="960"/>
      <c r="K27" s="960"/>
      <c r="L27" s="960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7" t="s">
        <v>417</v>
      </c>
      <c r="C28" s="958"/>
      <c r="D28" s="958"/>
      <c r="E28" s="959"/>
      <c r="F28" s="73">
        <f>L14</f>
        <v>5</v>
      </c>
      <c r="G28" s="71"/>
      <c r="H28" s="72">
        <v>20</v>
      </c>
      <c r="I28" s="960" t="s">
        <v>418</v>
      </c>
      <c r="J28" s="960"/>
      <c r="K28" s="960"/>
      <c r="L28" s="960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7" t="s">
        <v>419</v>
      </c>
      <c r="C29" s="958"/>
      <c r="D29" s="958"/>
      <c r="E29" s="959"/>
      <c r="F29" s="73">
        <f>L11*2</f>
        <v>4</v>
      </c>
      <c r="G29" s="71"/>
      <c r="H29" s="72">
        <v>21</v>
      </c>
      <c r="I29" s="960" t="s">
        <v>420</v>
      </c>
      <c r="J29" s="960"/>
      <c r="K29" s="960"/>
      <c r="L29" s="960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7" t="s">
        <v>421</v>
      </c>
      <c r="C30" s="958"/>
      <c r="D30" s="958"/>
      <c r="E30" s="959"/>
      <c r="F30" s="73">
        <f>L14*L11</f>
        <v>10</v>
      </c>
      <c r="G30" s="71"/>
      <c r="H30" s="72">
        <v>22</v>
      </c>
      <c r="I30" s="960" t="s">
        <v>422</v>
      </c>
      <c r="J30" s="960"/>
      <c r="K30" s="960"/>
      <c r="L30" s="960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7" t="s">
        <v>423</v>
      </c>
      <c r="C31" s="958"/>
      <c r="D31" s="958"/>
      <c r="E31" s="959"/>
      <c r="F31" s="73">
        <f>(L14+N14)*2</f>
        <v>14</v>
      </c>
      <c r="G31" s="71"/>
      <c r="H31" s="72">
        <v>23</v>
      </c>
      <c r="I31" s="960" t="s">
        <v>424</v>
      </c>
      <c r="J31" s="960"/>
      <c r="K31" s="960"/>
      <c r="L31" s="960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7" t="s">
        <v>425</v>
      </c>
      <c r="C32" s="958"/>
      <c r="D32" s="958"/>
      <c r="E32" s="959"/>
      <c r="F32" s="73">
        <f>(L14+N14)*2</f>
        <v>14</v>
      </c>
      <c r="G32" s="71"/>
      <c r="H32" s="72">
        <v>24</v>
      </c>
      <c r="I32" s="960" t="s">
        <v>426</v>
      </c>
      <c r="J32" s="960"/>
      <c r="K32" s="960"/>
      <c r="L32" s="960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7" t="s">
        <v>427</v>
      </c>
      <c r="C33" s="958"/>
      <c r="D33" s="958"/>
      <c r="E33" s="959"/>
      <c r="F33" s="73">
        <f>L11*3</f>
        <v>6</v>
      </c>
      <c r="G33" s="71"/>
      <c r="H33" s="72">
        <v>25</v>
      </c>
      <c r="I33" s="960" t="s">
        <v>428</v>
      </c>
      <c r="J33" s="960"/>
      <c r="K33" s="960"/>
      <c r="L33" s="960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7" t="s">
        <v>429</v>
      </c>
      <c r="C34" s="958"/>
      <c r="D34" s="958"/>
      <c r="E34" s="959"/>
      <c r="F34" s="73">
        <f>L11*3</f>
        <v>6</v>
      </c>
      <c r="G34" s="71"/>
      <c r="H34" s="72">
        <v>26</v>
      </c>
      <c r="I34" s="960" t="s">
        <v>430</v>
      </c>
      <c r="J34" s="960"/>
      <c r="K34" s="960"/>
      <c r="L34" s="960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7" t="s">
        <v>431</v>
      </c>
      <c r="C35" s="958"/>
      <c r="D35" s="958"/>
      <c r="E35" s="959"/>
      <c r="F35" s="73" t="str">
        <f>IF(L11&gt;2,(L11-2)*2,"0")</f>
        <v>0</v>
      </c>
      <c r="G35" s="74"/>
      <c r="H35" s="72">
        <v>27</v>
      </c>
      <c r="I35" s="960" t="s">
        <v>432</v>
      </c>
      <c r="J35" s="960"/>
      <c r="K35" s="960"/>
      <c r="L35" s="960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7" t="s">
        <v>433</v>
      </c>
      <c r="C36" s="958"/>
      <c r="D36" s="958"/>
      <c r="E36" s="959"/>
      <c r="F36" s="73" t="str">
        <f>IF(L11&gt;2,(L11-2)*L14,"0")</f>
        <v>0</v>
      </c>
      <c r="G36" s="74"/>
      <c r="H36" s="72">
        <v>28</v>
      </c>
      <c r="I36" s="960" t="s">
        <v>434</v>
      </c>
      <c r="J36" s="960"/>
      <c r="K36" s="960"/>
      <c r="L36" s="960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7" t="s">
        <v>435</v>
      </c>
      <c r="C37" s="958"/>
      <c r="D37" s="958"/>
      <c r="E37" s="959"/>
      <c r="F37" s="73">
        <f>M24</f>
        <v>1</v>
      </c>
      <c r="G37" s="74"/>
      <c r="H37" s="72">
        <v>29</v>
      </c>
      <c r="I37" s="960" t="s">
        <v>436</v>
      </c>
      <c r="J37" s="960"/>
      <c r="K37" s="960"/>
      <c r="L37" s="960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0" t="s">
        <v>437</v>
      </c>
      <c r="C38" s="960"/>
      <c r="D38" s="960"/>
      <c r="E38" s="960"/>
      <c r="F38" s="73">
        <f>تسجيل1!C21</f>
        <v>20</v>
      </c>
      <c r="G38" s="74"/>
      <c r="H38" s="72">
        <v>30</v>
      </c>
      <c r="I38" s="960" t="s">
        <v>438</v>
      </c>
      <c r="J38" s="960"/>
      <c r="K38" s="960"/>
      <c r="L38" s="960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7">
        <f>SUM(AA24:AB38)</f>
        <v>18356.1</v>
      </c>
      <c r="AB39" s="947"/>
    </row>
    <row r="40" ht="20.45" customHeight="1" s="58" customFormat="1">
      <c r="A40" s="961" t="s">
        <v>439</v>
      </c>
      <c r="B40" s="962"/>
      <c r="C40" s="962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7"/>
      <c r="AB40" s="947"/>
    </row>
    <row r="41" ht="18.75" customHeight="1" s="58" customFormat="1">
      <c r="A41" s="948" t="str">
        <f>IF(Format!I5=1,"-------",IF(Format!I5=2,Format!I3,Format!I4))</f>
        <v>صونفي </v>
      </c>
      <c r="B41" s="949"/>
      <c r="C41" s="950"/>
      <c r="D41" s="81"/>
      <c r="E41" s="81"/>
      <c r="F41" s="76"/>
      <c r="G41" s="68"/>
      <c r="H41" s="75"/>
      <c r="I41" s="81"/>
      <c r="J41" s="81"/>
      <c r="K41" s="81"/>
      <c r="L41" s="963" t="s">
        <v>340</v>
      </c>
      <c r="M41" s="964"/>
      <c r="N41" s="965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6">
        <f>AA39+X22+U8</f>
        <v>46515.205284144329</v>
      </c>
      <c r="AB41" s="966"/>
    </row>
    <row r="42" ht="13.9" customHeight="1" s="58" customFormat="1">
      <c r="A42" s="948"/>
      <c r="B42" s="949"/>
      <c r="C42" s="950"/>
      <c r="D42" s="10"/>
      <c r="E42" s="10"/>
      <c r="F42" s="10"/>
      <c r="G42" s="10"/>
      <c r="H42" s="10"/>
      <c r="I42" s="10"/>
      <c r="J42" s="10"/>
      <c r="K42" s="10"/>
      <c r="L42" s="926" t="str">
        <f>IF(Format!B5=1,Format!B2,IF(Format!B5=2,Format!B3,تسجيل1!F4))</f>
        <v>بيج  Ral 1013</v>
      </c>
      <c r="M42" s="927"/>
      <c r="N42" s="928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9" t="str">
        <f>IF(Format!P5=1,"Τηλεχειρισμος",IF(Format!P5=2,"-------","Διακοπτης"))</f>
        <v>Τηλεχειρισμος</v>
      </c>
      <c r="B43" s="930"/>
      <c r="C43" s="931"/>
      <c r="D43" s="10"/>
      <c r="E43" s="10"/>
      <c r="F43" s="10"/>
      <c r="G43" s="10"/>
      <c r="H43" s="10"/>
      <c r="I43" s="10"/>
      <c r="J43" s="10"/>
      <c r="K43" s="10"/>
      <c r="L43" s="932" t="s">
        <v>342</v>
      </c>
      <c r="M43" s="933"/>
      <c r="N43" s="934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5" t="str">
        <f>IF(Format!C8=1,Format!C2,IF(Format!C8=2,Format!C3,IF(Format!C8=3,Format!C4,IF(Format!C8=4,Format!C5,IF(Format!C8=5,Format!C6,تسجيل1!F5)))))</f>
        <v>بيج  Ral 1013</v>
      </c>
      <c r="M44" s="936"/>
      <c r="N44" s="937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8" t="str">
        <f>A3</f>
        <v>اسم العميل </v>
      </c>
      <c r="B96" s="939"/>
      <c r="C96" s="939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0">
        <f>N8</f>
        <v>372</v>
      </c>
      <c r="N97" s="941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2" t="str">
        <f>L44</f>
        <v>بيج  Ral 1013</v>
      </c>
      <c r="K98" s="943"/>
      <c r="L98" s="943"/>
      <c r="M98" s="943"/>
      <c r="N98" s="944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9" t="s">
        <v>519</v>
      </c>
      <c r="K1" s="1120"/>
      <c r="L1" s="1120"/>
      <c r="M1" s="1121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2" t="s">
        <v>555</v>
      </c>
      <c r="D17" s="1123"/>
      <c r="E17" s="1123"/>
      <c r="F17" s="1124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5" t="s">
        <v>562</v>
      </c>
      <c r="B29" s="1126"/>
      <c r="C29" s="1126"/>
      <c r="D29" s="1126"/>
      <c r="E29" s="1126"/>
      <c r="F29" s="1126"/>
      <c r="G29" s="1126"/>
      <c r="H29" s="1127"/>
      <c r="I29" s="1125" t="s">
        <v>563</v>
      </c>
      <c r="J29" s="1126"/>
      <c r="K29" s="1126"/>
      <c r="L29" s="1126"/>
      <c r="M29" s="1126"/>
      <c r="N29" s="1126"/>
      <c r="O29" s="1126"/>
      <c r="P29" s="1127"/>
      <c r="Q29" s="1125" t="s">
        <v>556</v>
      </c>
      <c r="R29" s="1126"/>
      <c r="S29" s="1126"/>
      <c r="T29" s="1126"/>
      <c r="U29" s="1126"/>
      <c r="V29" s="1126"/>
      <c r="W29" s="1126"/>
      <c r="X29" s="112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3" t="s">
        <v>560</v>
      </c>
      <c r="B31" s="111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3" t="s">
        <v>560</v>
      </c>
      <c r="J31" s="111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5" t="s">
        <v>560</v>
      </c>
      <c r="R31" s="111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7" t="s">
        <v>564</v>
      </c>
      <c r="B32" s="1118"/>
      <c r="C32" s="1118"/>
      <c r="D32" s="34"/>
      <c r="E32" s="34"/>
      <c r="F32" s="38"/>
      <c r="G32" s="34"/>
      <c r="H32" s="35"/>
      <c r="I32" s="1117" t="s">
        <v>565</v>
      </c>
      <c r="J32" s="1118"/>
      <c r="K32" s="111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28" t="s">
        <v>574</v>
      </c>
      <c r="B1" s="1129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0"/>
      <c r="B2" s="1131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0"/>
      <c r="B3" s="1131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0"/>
      <c r="B4" s="1131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0"/>
      <c r="B5" s="1131"/>
      <c r="H5" s="18"/>
      <c r="K5" s="1" t="s">
        <v>583</v>
      </c>
      <c r="L5" s="10" t="s">
        <v>584</v>
      </c>
    </row>
    <row r="6">
      <c r="A6" s="1130"/>
      <c r="B6" s="1131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2"/>
      <c r="B7" s="1133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4" t="s">
        <v>588</v>
      </c>
      <c r="B10" s="1135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6"/>
      <c r="B11" s="1137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6"/>
      <c r="B12" s="1137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6"/>
      <c r="B13" s="1137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6"/>
      <c r="B14" s="1137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6"/>
      <c r="B15" s="1137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8"/>
      <c r="B16" s="1139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0" t="s">
        <v>590</v>
      </c>
      <c r="B19" s="1141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2"/>
      <c r="B20" s="1143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2"/>
      <c r="B21" s="1143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2"/>
      <c r="B22" s="1143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2"/>
      <c r="B23" s="1143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2"/>
      <c r="B24" s="1143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4"/>
      <c r="B25" s="1145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5" t="s">
        <v>596</v>
      </c>
      <c r="D10" s="905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5" t="s">
        <v>596</v>
      </c>
      <c r="D11" s="905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6" t="s">
        <v>602</v>
      </c>
      <c r="I7" s="1146"/>
      <c r="J7" s="1146"/>
      <c r="K7" s="1147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6"/>
      <c r="I8" s="1146"/>
      <c r="J8" s="1146"/>
      <c r="K8" s="1147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6"/>
      <c r="I9" s="1146"/>
      <c r="J9" s="1146"/>
      <c r="K9" s="1147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6" t="s">
        <v>606</v>
      </c>
      <c r="I15" s="1146"/>
      <c r="J15" s="1146"/>
      <c r="K15" s="1147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6"/>
      <c r="I16" s="1146"/>
      <c r="J16" s="1146"/>
      <c r="K16" s="1147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6"/>
      <c r="I17" s="1146"/>
      <c r="J17" s="1146"/>
      <c r="K17" s="1147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19" t="s">
        <v>519</v>
      </c>
      <c r="K1" s="1120"/>
      <c r="L1" s="1120"/>
      <c r="M1" s="1121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2" t="s">
        <v>555</v>
      </c>
      <c r="D17" s="1123"/>
      <c r="E17" s="1123"/>
      <c r="F17" s="1124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5" t="s">
        <v>562</v>
      </c>
      <c r="B29" s="1126"/>
      <c r="C29" s="1126"/>
      <c r="D29" s="1126"/>
      <c r="E29" s="1126"/>
      <c r="F29" s="1126"/>
      <c r="G29" s="1126"/>
      <c r="H29" s="1127"/>
      <c r="I29" s="1125" t="s">
        <v>563</v>
      </c>
      <c r="J29" s="1126"/>
      <c r="K29" s="1126"/>
      <c r="L29" s="1126"/>
      <c r="M29" s="1126"/>
      <c r="N29" s="1126"/>
      <c r="O29" s="1126"/>
      <c r="P29" s="1127"/>
      <c r="Q29" s="1125" t="s">
        <v>556</v>
      </c>
      <c r="R29" s="1126"/>
      <c r="S29" s="1126"/>
      <c r="T29" s="1126"/>
      <c r="U29" s="1126"/>
      <c r="V29" s="1126"/>
      <c r="W29" s="1126"/>
      <c r="X29" s="112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3" t="s">
        <v>560</v>
      </c>
      <c r="B31" s="1114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3" t="s">
        <v>560</v>
      </c>
      <c r="J31" s="1114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5" t="s">
        <v>560</v>
      </c>
      <c r="R31" s="1116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7" t="s">
        <v>564</v>
      </c>
      <c r="B32" s="1118"/>
      <c r="C32" s="1118"/>
      <c r="D32" s="34"/>
      <c r="E32" s="34"/>
      <c r="F32" s="38"/>
      <c r="G32" s="34"/>
      <c r="H32" s="35"/>
      <c r="I32" s="1117" t="s">
        <v>565</v>
      </c>
      <c r="J32" s="1118"/>
      <c r="K32" s="1118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opLeftCell="W13" zoomScale="40" zoomScaleNormal="40" zoomScaleSheetLayoutView="70" zoomScalePageLayoutView="25" workbookViewId="0">
      <selection activeCell="AF28" sqref="AF28:AF29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2" width="23" customWidth="1"/>
    <col min="33" max="33" width="27.7109375" customWidth="1"/>
    <col min="34" max="34" bestFit="1" width="33.7109375" customWidth="1"/>
    <col min="35" max="37" width="23" customWidth="1"/>
    <col min="38" max="38" width="31.7109375" customWidth="1"/>
    <col min="39" max="39" width="33.85546875" customWidth="1"/>
    <col min="40" max="40" width="31.28515625" customWidth="1"/>
    <col min="41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4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60"/>
      <c r="BG1" s="860"/>
      <c r="BH1" s="860"/>
      <c r="BI1" s="860"/>
      <c r="BJ1" s="860"/>
      <c r="BK1" s="860"/>
      <c r="BL1" s="860"/>
      <c r="BM1" s="860"/>
      <c r="BN1" s="860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45"/>
      <c r="S2" s="410" t="s">
        <v>649</v>
      </c>
      <c r="T2" s="411">
        <f>IF((V14="ok"),Royal!G84,"R")</f>
        <v>172048.73027412532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9" t="s">
        <v>649</v>
      </c>
      <c r="AG2" s="859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18478.2</v>
      </c>
      <c r="AH2" s="859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116533.69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154069.87266666669</v>
      </c>
      <c r="BF2" s="860"/>
      <c r="BG2" s="860"/>
      <c r="BH2" s="860"/>
      <c r="BI2" s="860"/>
      <c r="BJ2" s="860"/>
      <c r="BK2" s="860"/>
      <c r="BL2" s="860"/>
      <c r="BM2" s="860"/>
      <c r="BN2" s="860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45"/>
      <c r="S3" s="516" t="s">
        <v>127</v>
      </c>
      <c r="T3" s="413">
        <f>T2/(AA10*X8)*10000</f>
        <v>10753.045642132833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9"/>
      <c r="AG3" s="859"/>
      <c r="AH3" s="859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9322.6952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4401.9963619047621</v>
      </c>
      <c r="BF3" s="860"/>
      <c r="BG3" s="860"/>
      <c r="BH3" s="860"/>
      <c r="BI3" s="860"/>
      <c r="BJ3" s="860"/>
      <c r="BK3" s="860"/>
      <c r="BL3" s="860"/>
      <c r="BM3" s="860"/>
      <c r="BN3" s="860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4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9"/>
      <c r="AG4" s="859"/>
      <c r="AH4" s="859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61"/>
      <c r="BG4" s="862"/>
      <c r="BH4" s="862"/>
      <c r="BI4" s="862"/>
      <c r="BJ4" s="862"/>
      <c r="BK4" s="862"/>
      <c r="BL4" s="862"/>
      <c r="BM4" s="862"/>
      <c r="BN4" s="858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4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61"/>
      <c r="BG5" s="862"/>
      <c r="BH5" s="862"/>
      <c r="BI5" s="862"/>
      <c r="BJ5" s="862"/>
      <c r="BK5" s="862"/>
      <c r="BL5" s="862"/>
      <c r="BM5" s="862"/>
      <c r="BN5" s="858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4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63" t="s">
        <v>656</v>
      </c>
      <c r="AP6" s="864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58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4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58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45"/>
      <c r="S8" s="823"/>
      <c r="T8" s="823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207</v>
      </c>
      <c r="AK8" s="461">
        <v>3</v>
      </c>
      <c r="AL8" s="461" t="s">
        <v>234</v>
      </c>
      <c r="AM8" s="461" t="s">
        <v>208</v>
      </c>
      <c r="AN8" s="462" t="s">
        <v>257</v>
      </c>
      <c r="AO8" s="865"/>
      <c r="AP8" s="866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58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45"/>
      <c r="S9" s="824"/>
      <c r="T9" s="824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58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4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41" t="s">
        <v>659</v>
      </c>
      <c r="AF10" s="841"/>
      <c r="AG10" s="841"/>
      <c r="AH10" s="841"/>
      <c r="AI10" s="841"/>
      <c r="AJ10" s="841"/>
      <c r="AK10" s="841"/>
      <c r="AL10" s="841"/>
      <c r="AM10" s="841"/>
      <c r="AN10" s="841"/>
      <c r="AO10" s="841"/>
      <c r="AP10" s="841"/>
      <c r="AQ10" s="841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58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4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58"/>
    </row>
    <row r="12" ht="42" customHeight="1" s="405" customFormat="1">
      <c r="A12" s="407"/>
      <c r="B12" s="819"/>
      <c r="C12" s="819"/>
      <c r="D12" s="819"/>
      <c r="E12" s="407"/>
      <c r="F12" s="826"/>
      <c r="G12" s="826"/>
      <c r="H12" s="826"/>
      <c r="I12" s="818"/>
      <c r="J12" s="819"/>
      <c r="K12" s="819"/>
      <c r="L12" s="819"/>
      <c r="M12" s="818"/>
      <c r="N12" s="825"/>
      <c r="O12" s="825"/>
      <c r="P12" s="825"/>
      <c r="Q12" s="407"/>
      <c r="R12" s="84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58"/>
    </row>
    <row r="13" ht="55.5" customHeight="1" s="405" customFormat="1">
      <c r="A13" s="407"/>
      <c r="B13" s="819"/>
      <c r="C13" s="819"/>
      <c r="D13" s="819"/>
      <c r="E13" s="407"/>
      <c r="F13" s="826"/>
      <c r="G13" s="826"/>
      <c r="H13" s="826"/>
      <c r="I13" s="818"/>
      <c r="J13" s="819"/>
      <c r="K13" s="819"/>
      <c r="L13" s="819"/>
      <c r="M13" s="818"/>
      <c r="N13" s="825"/>
      <c r="O13" s="825"/>
      <c r="P13" s="825"/>
      <c r="Q13" s="407"/>
      <c r="R13" s="845"/>
      <c r="S13" s="523" t="s">
        <v>661</v>
      </c>
      <c r="T13" s="487"/>
      <c r="AC13" s="407"/>
      <c r="AD13" s="629"/>
      <c r="AE13" s="407"/>
      <c r="AF13" s="868" t="s">
        <v>649</v>
      </c>
      <c r="AG13" s="867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15389.892000000002</v>
      </c>
      <c r="AH13" s="867"/>
      <c r="AI13" s="414"/>
      <c r="AJ13" s="414"/>
      <c r="AK13" s="414"/>
      <c r="AL13" s="851" t="s">
        <v>662</v>
      </c>
      <c r="AM13" s="851"/>
      <c r="AN13" s="851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58"/>
    </row>
    <row r="14" ht="55.5" customHeight="1" s="405" customFormat="1">
      <c r="A14" s="407"/>
      <c r="B14" s="819"/>
      <c r="C14" s="819"/>
      <c r="D14" s="819"/>
      <c r="E14" s="407"/>
      <c r="F14" s="826"/>
      <c r="G14" s="826"/>
      <c r="H14" s="826"/>
      <c r="I14" s="818"/>
      <c r="J14" s="819"/>
      <c r="K14" s="819"/>
      <c r="L14" s="819"/>
      <c r="M14" s="818"/>
      <c r="N14" s="825"/>
      <c r="O14" s="825"/>
      <c r="P14" s="825"/>
      <c r="Q14" s="407"/>
      <c r="R14" s="845"/>
      <c r="S14" s="524" t="s">
        <v>664</v>
      </c>
      <c r="T14" s="522"/>
      <c r="U14" s="488" t="s">
        <v>617</v>
      </c>
      <c r="V14" s="849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0"/>
      <c r="X14" s="850"/>
      <c r="Y14" s="850"/>
      <c r="Z14" s="850"/>
      <c r="AA14" s="850"/>
      <c r="AB14" s="850"/>
      <c r="AC14" s="850"/>
      <c r="AD14" s="629"/>
      <c r="AE14" s="407"/>
      <c r="AF14" s="868"/>
      <c r="AG14" s="867"/>
      <c r="AH14" s="867"/>
      <c r="AI14" s="407"/>
      <c r="AJ14" s="407"/>
      <c r="AK14" s="407"/>
      <c r="AL14" s="851"/>
      <c r="AM14" s="851"/>
      <c r="AN14" s="851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49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0"/>
      <c r="AX14" s="850"/>
      <c r="AY14" s="850"/>
      <c r="AZ14" s="850"/>
      <c r="BA14" s="850"/>
      <c r="BB14" s="850"/>
      <c r="BC14" s="406"/>
      <c r="BD14" s="483" t="s">
        <v>664</v>
      </c>
      <c r="BE14" s="483"/>
      <c r="BF14" s="488" t="s">
        <v>614</v>
      </c>
      <c r="BG14" s="849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0"/>
      <c r="BI14" s="850"/>
      <c r="BJ14" s="850"/>
      <c r="BK14" s="850"/>
      <c r="BL14" s="850"/>
      <c r="BM14" s="850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4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4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4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4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4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4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41" t="s">
        <v>666</v>
      </c>
      <c r="AF20" s="841"/>
      <c r="AG20" s="841"/>
      <c r="AH20" s="841"/>
      <c r="AI20" s="841"/>
      <c r="AJ20" s="841"/>
      <c r="AK20" s="841"/>
      <c r="AL20" s="841"/>
      <c r="AM20" s="841"/>
      <c r="AN20" s="841"/>
      <c r="AO20" s="841"/>
      <c r="AP20" s="841"/>
      <c r="AQ20" s="841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9"/>
      <c r="B21" s="829"/>
      <c r="C21" s="829"/>
      <c r="D21" s="829"/>
      <c r="E21" s="829"/>
      <c r="F21" s="829"/>
      <c r="G21" s="829"/>
      <c r="H21" s="829"/>
      <c r="I21" s="829"/>
      <c r="J21" s="829"/>
      <c r="K21" s="829"/>
      <c r="L21" s="829"/>
      <c r="M21" s="829"/>
      <c r="N21" s="829"/>
      <c r="O21" s="829"/>
      <c r="P21" s="829"/>
      <c r="Q21" s="829"/>
      <c r="R21" s="845"/>
      <c r="S21" s="834" t="s">
        <v>667</v>
      </c>
      <c r="T21" s="835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41"/>
      <c r="AF21" s="841"/>
      <c r="AG21" s="841"/>
      <c r="AH21" s="841"/>
      <c r="AI21" s="841"/>
      <c r="AJ21" s="841"/>
      <c r="AK21" s="841"/>
      <c r="AL21" s="841"/>
      <c r="AM21" s="841"/>
      <c r="AN21" s="841"/>
      <c r="AO21" s="841"/>
      <c r="AP21" s="841"/>
      <c r="AQ21" s="841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9"/>
      <c r="B22" s="829"/>
      <c r="C22" s="829"/>
      <c r="D22" s="829"/>
      <c r="E22" s="829"/>
      <c r="F22" s="829"/>
      <c r="G22" s="829"/>
      <c r="H22" s="829"/>
      <c r="I22" s="829"/>
      <c r="J22" s="829"/>
      <c r="K22" s="829"/>
      <c r="L22" s="829"/>
      <c r="M22" s="829"/>
      <c r="N22" s="829"/>
      <c r="O22" s="829"/>
      <c r="P22" s="829"/>
      <c r="Q22" s="829"/>
      <c r="R22" s="845"/>
      <c r="S22" s="434" t="s">
        <v>649</v>
      </c>
      <c r="T22" s="435">
        <f>Royal2!G86</f>
        <v>199486.2685563264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335659.584</v>
      </c>
      <c r="AU22" s="471"/>
      <c r="BC22" s="406"/>
      <c r="BD22" s="463" t="s">
        <v>649</v>
      </c>
      <c r="BE22" s="464">
        <f>'بيرسا و لوفرز'!R140</f>
        <v>331853.92933333339</v>
      </c>
      <c r="BF22" s="471"/>
      <c r="BN22" s="407"/>
    </row>
    <row r="23" ht="39.75" customHeight="1" s="405" customFormat="1">
      <c r="A23" s="829"/>
      <c r="B23" s="829"/>
      <c r="C23" s="829"/>
      <c r="D23" s="829"/>
      <c r="E23" s="829"/>
      <c r="F23" s="829"/>
      <c r="G23" s="829"/>
      <c r="H23" s="829"/>
      <c r="I23" s="829"/>
      <c r="J23" s="829"/>
      <c r="K23" s="829"/>
      <c r="L23" s="829"/>
      <c r="M23" s="829"/>
      <c r="N23" s="829"/>
      <c r="O23" s="829"/>
      <c r="P23" s="829"/>
      <c r="Q23" s="829"/>
      <c r="R23" s="845"/>
      <c r="S23" s="436" t="s">
        <v>127</v>
      </c>
      <c r="T23" s="435">
        <f>T22/(AA33*X31)*10000</f>
        <v>12467.8917847704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9" t="s">
        <v>649</v>
      </c>
      <c r="AF23" s="839"/>
      <c r="AG23" s="840" t="b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0</v>
      </c>
      <c r="AH23" s="840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16782.979199999998</v>
      </c>
      <c r="AU23" s="471"/>
      <c r="AV23" s="472"/>
      <c r="BC23" s="406"/>
      <c r="BD23" s="463" t="s">
        <v>127</v>
      </c>
      <c r="BE23" s="465">
        <f>BE22/(BE33*BE34/10000)</f>
        <v>16592.696466666668</v>
      </c>
      <c r="BF23" s="471"/>
      <c r="BG23" s="472"/>
      <c r="BN23" s="407"/>
    </row>
    <row r="24" ht="39.75" customHeight="1" s="405" customFormat="1">
      <c r="A24" s="829"/>
      <c r="B24" s="829"/>
      <c r="C24" s="829"/>
      <c r="D24" s="829"/>
      <c r="E24" s="829"/>
      <c r="F24" s="829"/>
      <c r="G24" s="829"/>
      <c r="H24" s="829"/>
      <c r="I24" s="829"/>
      <c r="J24" s="829"/>
      <c r="K24" s="829"/>
      <c r="L24" s="829"/>
      <c r="M24" s="829"/>
      <c r="N24" s="829"/>
      <c r="O24" s="829"/>
      <c r="P24" s="829"/>
      <c r="Q24" s="829"/>
      <c r="R24" s="84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9"/>
      <c r="AF24" s="839"/>
      <c r="AG24" s="840"/>
      <c r="AH24" s="840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9"/>
      <c r="B25" s="829"/>
      <c r="C25" s="829"/>
      <c r="D25" s="829"/>
      <c r="E25" s="829"/>
      <c r="F25" s="829"/>
      <c r="G25" s="829"/>
      <c r="H25" s="829"/>
      <c r="I25" s="829"/>
      <c r="J25" s="829"/>
      <c r="K25" s="829"/>
      <c r="L25" s="829"/>
      <c r="M25" s="829"/>
      <c r="N25" s="829"/>
      <c r="O25" s="829"/>
      <c r="P25" s="829"/>
      <c r="Q25" s="829"/>
      <c r="R25" s="84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9"/>
      <c r="B26" s="829"/>
      <c r="C26" s="829"/>
      <c r="D26" s="829"/>
      <c r="E26" s="829"/>
      <c r="F26" s="829"/>
      <c r="G26" s="829"/>
      <c r="H26" s="829"/>
      <c r="I26" s="829"/>
      <c r="J26" s="829"/>
      <c r="K26" s="829"/>
      <c r="L26" s="829"/>
      <c r="M26" s="829"/>
      <c r="N26" s="829"/>
      <c r="O26" s="829"/>
      <c r="P26" s="829"/>
      <c r="Q26" s="829"/>
      <c r="R26" s="84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16" t="s">
        <v>670</v>
      </c>
      <c r="AG26" s="816" t="s">
        <v>651</v>
      </c>
      <c r="AH26" s="846" t="s">
        <v>200</v>
      </c>
      <c r="AI26" s="816" t="s">
        <v>295</v>
      </c>
      <c r="AJ26" s="816" t="s">
        <v>654</v>
      </c>
      <c r="AK26" s="816" t="s">
        <v>655</v>
      </c>
      <c r="AL26" s="832" t="s">
        <v>656</v>
      </c>
      <c r="AM26" s="832"/>
      <c r="AN26" s="816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9"/>
      <c r="B27" s="829"/>
      <c r="C27" s="829"/>
      <c r="D27" s="829"/>
      <c r="E27" s="829"/>
      <c r="F27" s="829"/>
      <c r="G27" s="829"/>
      <c r="H27" s="829"/>
      <c r="I27" s="829"/>
      <c r="J27" s="829"/>
      <c r="K27" s="829"/>
      <c r="L27" s="829"/>
      <c r="M27" s="829"/>
      <c r="N27" s="829"/>
      <c r="O27" s="829"/>
      <c r="P27" s="829"/>
      <c r="Q27" s="829"/>
      <c r="R27" s="84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17"/>
      <c r="AG27" s="817"/>
      <c r="AH27" s="847"/>
      <c r="AI27" s="817"/>
      <c r="AJ27" s="817"/>
      <c r="AK27" s="817"/>
      <c r="AL27" s="833"/>
      <c r="AM27" s="833"/>
      <c r="AN27" s="817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9"/>
      <c r="B28" s="829"/>
      <c r="C28" s="829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  <c r="O28" s="829"/>
      <c r="P28" s="829"/>
      <c r="Q28" s="829"/>
      <c r="R28" s="84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1148" t="s">
        <v>665</v>
      </c>
      <c r="AG28" s="814" t="s">
        <v>256</v>
      </c>
      <c r="AH28" s="814" t="s">
        <v>173</v>
      </c>
      <c r="AI28" s="814" t="s">
        <v>234</v>
      </c>
      <c r="AJ28" s="814" t="s">
        <v>224</v>
      </c>
      <c r="AK28" s="814" t="s">
        <v>257</v>
      </c>
      <c r="AL28" s="830" t="s">
        <v>672</v>
      </c>
      <c r="AM28" s="830"/>
      <c r="AN28" s="814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9"/>
      <c r="B29" s="829"/>
      <c r="C29" s="829"/>
      <c r="D29" s="829"/>
      <c r="E29" s="829"/>
      <c r="F29" s="829"/>
      <c r="G29" s="829"/>
      <c r="H29" s="829"/>
      <c r="I29" s="829"/>
      <c r="J29" s="829"/>
      <c r="K29" s="829"/>
      <c r="L29" s="829"/>
      <c r="M29" s="829"/>
      <c r="N29" s="829"/>
      <c r="O29" s="829"/>
      <c r="P29" s="829"/>
      <c r="Q29" s="829"/>
      <c r="R29" s="84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1149"/>
      <c r="AG29" s="815"/>
      <c r="AH29" s="815"/>
      <c r="AI29" s="815"/>
      <c r="AJ29" s="815"/>
      <c r="AK29" s="815"/>
      <c r="AL29" s="831"/>
      <c r="AM29" s="831"/>
      <c r="AN29" s="815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9"/>
      <c r="B30" s="829"/>
      <c r="C30" s="829"/>
      <c r="D30" s="829"/>
      <c r="E30" s="829"/>
      <c r="F30" s="829"/>
      <c r="G30" s="829"/>
      <c r="H30" s="829"/>
      <c r="I30" s="829"/>
      <c r="J30" s="829"/>
      <c r="K30" s="829"/>
      <c r="L30" s="829"/>
      <c r="M30" s="829"/>
      <c r="N30" s="829"/>
      <c r="O30" s="829"/>
      <c r="P30" s="829"/>
      <c r="Q30" s="829"/>
      <c r="R30" s="845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29"/>
      <c r="B31" s="829"/>
      <c r="C31" s="829"/>
      <c r="D31" s="829"/>
      <c r="E31" s="829"/>
      <c r="F31" s="829"/>
      <c r="G31" s="829"/>
      <c r="H31" s="829"/>
      <c r="I31" s="829"/>
      <c r="J31" s="829"/>
      <c r="K31" s="829"/>
      <c r="L31" s="829"/>
      <c r="M31" s="829"/>
      <c r="N31" s="829"/>
      <c r="O31" s="829"/>
      <c r="P31" s="829"/>
      <c r="Q31" s="829"/>
      <c r="R31" s="84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7" t="s">
        <v>675</v>
      </c>
      <c r="AF31" s="837"/>
      <c r="AG31" s="837"/>
      <c r="AH31" s="837"/>
      <c r="AI31" s="837"/>
      <c r="AJ31" s="837"/>
      <c r="AK31" s="837"/>
      <c r="AL31" s="837"/>
      <c r="AM31" s="837"/>
      <c r="AN31" s="837"/>
      <c r="AO31" s="837"/>
      <c r="AP31" s="837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9"/>
      <c r="B32" s="829"/>
      <c r="C32" s="829"/>
      <c r="D32" s="829"/>
      <c r="E32" s="829"/>
      <c r="F32" s="829"/>
      <c r="G32" s="829"/>
      <c r="H32" s="829"/>
      <c r="I32" s="829"/>
      <c r="J32" s="829"/>
      <c r="K32" s="829"/>
      <c r="L32" s="829"/>
      <c r="M32" s="829"/>
      <c r="N32" s="829"/>
      <c r="O32" s="829"/>
      <c r="P32" s="829"/>
      <c r="Q32" s="829"/>
      <c r="R32" s="84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0" t="s">
        <v>676</v>
      </c>
      <c r="AG32" s="811" t="s">
        <v>677</v>
      </c>
      <c r="AH32" s="810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810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CHEAK NOTES 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9"/>
      <c r="B33" s="829"/>
      <c r="C33" s="829"/>
      <c r="D33" s="829"/>
      <c r="E33" s="829"/>
      <c r="F33" s="829"/>
      <c r="G33" s="829"/>
      <c r="H33" s="829"/>
      <c r="I33" s="829"/>
      <c r="J33" s="829"/>
      <c r="K33" s="829"/>
      <c r="L33" s="829"/>
      <c r="M33" s="829"/>
      <c r="N33" s="829"/>
      <c r="O33" s="829"/>
      <c r="P33" s="829"/>
      <c r="Q33" s="829"/>
      <c r="R33" s="845"/>
      <c r="S33" s="432" t="s">
        <v>661</v>
      </c>
      <c r="T33" s="446"/>
      <c r="U33" s="445"/>
      <c r="V33" s="838"/>
      <c r="W33" s="838"/>
      <c r="X33" s="447"/>
      <c r="Y33" s="445"/>
      <c r="Z33" s="445"/>
      <c r="AA33" s="444">
        <v>400</v>
      </c>
      <c r="AB33" s="445"/>
      <c r="AC33" s="445"/>
      <c r="AE33" s="797"/>
      <c r="AF33" s="810" t="s">
        <v>678</v>
      </c>
      <c r="AG33" s="811" t="s">
        <v>679</v>
      </c>
      <c r="AH33" s="810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9"/>
      <c r="B34" s="829"/>
      <c r="C34" s="829"/>
      <c r="D34" s="829"/>
      <c r="E34" s="829"/>
      <c r="F34" s="829"/>
      <c r="G34" s="829"/>
      <c r="H34" s="829"/>
      <c r="I34" s="829"/>
      <c r="J34" s="829"/>
      <c r="K34" s="829"/>
      <c r="L34" s="829"/>
      <c r="M34" s="829"/>
      <c r="N34" s="829"/>
      <c r="O34" s="829"/>
      <c r="P34" s="829"/>
      <c r="Q34" s="829"/>
      <c r="R34" s="84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0" t="s">
        <v>680</v>
      </c>
      <c r="AG34" s="811" t="s">
        <v>681</v>
      </c>
      <c r="AH34" s="810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8"/>
      <c r="BA34" s="848"/>
      <c r="BB34" s="848"/>
      <c r="BD34" s="430" t="s">
        <v>664</v>
      </c>
      <c r="BE34" s="430">
        <v>500</v>
      </c>
      <c r="BF34" s="477"/>
      <c r="BK34" s="848"/>
      <c r="BL34" s="848"/>
      <c r="BM34" s="848"/>
      <c r="BN34" s="407"/>
    </row>
    <row r="35" ht="41.25" customHeight="1">
      <c r="A35" s="829"/>
      <c r="B35" s="829"/>
      <c r="C35" s="829"/>
      <c r="D35" s="829"/>
      <c r="E35" s="829"/>
      <c r="F35" s="829"/>
      <c r="G35" s="829"/>
      <c r="H35" s="829"/>
      <c r="I35" s="829"/>
      <c r="J35" s="829"/>
      <c r="K35" s="829"/>
      <c r="L35" s="829"/>
      <c r="M35" s="829"/>
      <c r="N35" s="829"/>
      <c r="O35" s="829"/>
      <c r="P35" s="829"/>
      <c r="Q35" s="829"/>
      <c r="R35" s="84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0" t="s">
        <v>682</v>
      </c>
      <c r="AG35" s="811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9"/>
      <c r="B36" s="829"/>
      <c r="C36" s="829"/>
      <c r="D36" s="829"/>
      <c r="E36" s="829"/>
      <c r="F36" s="829"/>
      <c r="G36" s="829"/>
      <c r="H36" s="829"/>
      <c r="I36" s="829"/>
      <c r="J36" s="829"/>
      <c r="K36" s="829"/>
      <c r="L36" s="829"/>
      <c r="M36" s="829"/>
      <c r="N36" s="829"/>
      <c r="O36" s="829"/>
      <c r="P36" s="829"/>
      <c r="Q36" s="829"/>
      <c r="R36" s="84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9"/>
      <c r="B37" s="829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  <c r="Q37" s="829"/>
      <c r="R37" s="845"/>
      <c r="S37" s="407"/>
      <c r="T37" s="407"/>
      <c r="U37" s="836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36"/>
      <c r="W37" s="836"/>
      <c r="X37" s="836"/>
      <c r="Y37" s="836"/>
      <c r="Z37" s="836"/>
      <c r="AA37" s="836"/>
      <c r="AB37" s="836"/>
      <c r="AC37" s="836"/>
      <c r="AG37" s="799"/>
      <c r="AH37" s="800"/>
      <c r="AI37" s="799"/>
      <c r="AJ37" s="799"/>
      <c r="AK37" s="799"/>
      <c r="AL37" s="799"/>
      <c r="AM37" s="801"/>
      <c r="AS37" s="854">
        <f>('بيرسا و لوفرز'!F24+'بيرسا و لوفرز'!V55+'بيرسا و لوفرز'!V63)*1.35</f>
        <v>250129.62000000002</v>
      </c>
      <c r="AT37" s="855"/>
      <c r="BD37" s="856">
        <f>('بيرسا و لوفرز'!F97+'بيرسا و لوفرز'!V126+'بيرسا و لوفرز'!V134)*1.35</f>
        <v>228605.22000000003</v>
      </c>
      <c r="BE37" s="855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4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54">
        <f>AS37/(AT34*AT33/10000)</f>
        <v>12506.481000000002</v>
      </c>
      <c r="AT38" s="855"/>
      <c r="BD38" s="856">
        <f>BD37/(BE33*BE34/10000)</f>
        <v>11430.261000000002</v>
      </c>
      <c r="BE38" s="855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4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4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4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57" t="s">
        <v>684</v>
      </c>
      <c r="AT41" s="857"/>
      <c r="AU41" s="857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45"/>
      <c r="S42" s="834" t="s">
        <v>686</v>
      </c>
      <c r="T42" s="835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237013.62099999999</v>
      </c>
      <c r="AU42" s="471"/>
      <c r="BD42" s="463" t="s">
        <v>649</v>
      </c>
      <c r="BE42" s="464">
        <f>'بيرسا و لوفرز'!BM139</f>
        <v>242818.98766666665</v>
      </c>
      <c r="BF42" s="471"/>
      <c r="BN42" s="407"/>
    </row>
    <row r="43" ht="42" customHeight="1">
      <c r="A43" s="829" t="s">
        <v>687</v>
      </c>
      <c r="B43" s="829"/>
      <c r="C43" s="829"/>
      <c r="D43" s="829"/>
      <c r="E43" s="829"/>
      <c r="F43" s="829"/>
      <c r="G43" s="829"/>
      <c r="H43" s="829"/>
      <c r="I43" s="829"/>
      <c r="J43" s="829"/>
      <c r="K43" s="829"/>
      <c r="L43" s="829"/>
      <c r="M43" s="829"/>
      <c r="N43" s="829"/>
      <c r="O43" s="829"/>
      <c r="P43" s="829"/>
      <c r="Q43" s="829"/>
      <c r="R43" s="845"/>
      <c r="S43" s="434" t="s">
        <v>649</v>
      </c>
      <c r="T43" s="435">
        <f>'شماسي و كانتليفر'!N51</f>
        <v>103207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11850.68105</v>
      </c>
      <c r="AU43" s="471"/>
      <c r="AV43" s="472"/>
      <c r="BD43" s="463" t="s">
        <v>127</v>
      </c>
      <c r="BE43" s="465">
        <f>BE42/(BE53*BE54/10000)</f>
        <v>12140.949383333333</v>
      </c>
      <c r="BF43" s="471"/>
      <c r="BG43" s="472"/>
      <c r="BN43" s="407"/>
    </row>
    <row r="44" ht="42" customHeight="1">
      <c r="A44" s="829"/>
      <c r="B44" s="829"/>
      <c r="C44" s="829"/>
      <c r="D44" s="829"/>
      <c r="E44" s="829"/>
      <c r="F44" s="829"/>
      <c r="G44" s="829"/>
      <c r="H44" s="829"/>
      <c r="I44" s="829"/>
      <c r="J44" s="829"/>
      <c r="K44" s="829"/>
      <c r="L44" s="829"/>
      <c r="M44" s="829"/>
      <c r="N44" s="829"/>
      <c r="O44" s="829"/>
      <c r="P44" s="829"/>
      <c r="Q44" s="829"/>
      <c r="R44" s="845"/>
      <c r="S44" s="436" t="s">
        <v>127</v>
      </c>
      <c r="T44" s="435">
        <f>T43/T51</f>
        <v>4128.28</v>
      </c>
      <c r="U44" s="449"/>
      <c r="V44" s="449"/>
      <c r="W44" s="449"/>
      <c r="X44" s="449"/>
      <c r="Y44" s="828"/>
      <c r="Z44" s="828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9"/>
      <c r="B45" s="829"/>
      <c r="C45" s="829"/>
      <c r="D45" s="829"/>
      <c r="E45" s="829"/>
      <c r="F45" s="829"/>
      <c r="G45" s="829"/>
      <c r="H45" s="829"/>
      <c r="I45" s="829"/>
      <c r="J45" s="829"/>
      <c r="K45" s="829"/>
      <c r="L45" s="829"/>
      <c r="M45" s="829"/>
      <c r="N45" s="829"/>
      <c r="O45" s="829"/>
      <c r="P45" s="829"/>
      <c r="Q45" s="829"/>
      <c r="R45" s="845"/>
      <c r="S45" s="432" t="s">
        <v>650</v>
      </c>
      <c r="T45" s="433" t="s">
        <v>21</v>
      </c>
      <c r="U45" s="449"/>
      <c r="V45" s="449"/>
      <c r="W45" s="449"/>
      <c r="X45" s="449"/>
      <c r="Y45" s="828"/>
      <c r="Z45" s="828"/>
      <c r="AA45" s="449"/>
      <c r="AB45" s="449"/>
      <c r="AC45" s="449"/>
      <c r="AD45" s="626"/>
      <c r="AE45" s="454"/>
      <c r="AF45" s="842" t="s">
        <v>688</v>
      </c>
      <c r="AG45" s="842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9"/>
      <c r="B46" s="829"/>
      <c r="C46" s="829"/>
      <c r="D46" s="829"/>
      <c r="E46" s="829"/>
      <c r="F46" s="829"/>
      <c r="G46" s="829"/>
      <c r="H46" s="829"/>
      <c r="I46" s="829"/>
      <c r="J46" s="829"/>
      <c r="K46" s="829"/>
      <c r="L46" s="829"/>
      <c r="M46" s="829"/>
      <c r="N46" s="829"/>
      <c r="O46" s="829"/>
      <c r="P46" s="829"/>
      <c r="Q46" s="829"/>
      <c r="R46" s="845"/>
      <c r="S46" s="437" t="s">
        <v>609</v>
      </c>
      <c r="T46" s="438" t="s">
        <v>616</v>
      </c>
      <c r="U46" s="449"/>
      <c r="V46" s="449"/>
      <c r="W46" s="449"/>
      <c r="X46" s="449"/>
      <c r="Y46" s="828"/>
      <c r="Z46" s="828"/>
      <c r="AA46" s="449"/>
      <c r="AB46" s="449"/>
      <c r="AC46" s="449"/>
      <c r="AD46" s="626"/>
      <c r="AE46" s="454"/>
      <c r="AF46" s="842"/>
      <c r="AG46" s="842"/>
      <c r="AH46" s="787" t="s">
        <v>462</v>
      </c>
      <c r="AI46" s="787">
        <v>350</v>
      </c>
      <c r="AJ46" s="787">
        <v>400</v>
      </c>
      <c r="AK46" s="787" t="s">
        <v>234</v>
      </c>
      <c r="AL46" s="787" t="s">
        <v>234</v>
      </c>
      <c r="AM46" s="788">
        <f>'PERG. CS.'!G3</f>
        <v>87893.134375000009</v>
      </c>
      <c r="AN46" s="788">
        <f>AM46/(Table115[[#This Row],[العرض]]*Table115[[#This Row],[الامتداد]]/10000)</f>
        <v>6278.081026785715</v>
      </c>
      <c r="AO46" s="870" t="s">
        <v>662</v>
      </c>
      <c r="AP46" s="870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9"/>
      <c r="B47" s="829"/>
      <c r="C47" s="829"/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  <c r="O47" s="829"/>
      <c r="P47" s="829"/>
      <c r="Q47" s="829"/>
      <c r="R47" s="845"/>
      <c r="S47" s="432" t="s">
        <v>690</v>
      </c>
      <c r="T47" s="439">
        <f>ROUNDUP(T54/500,0)</f>
        <v>1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42"/>
      <c r="AG47" s="842"/>
      <c r="AO47" s="870"/>
      <c r="AP47" s="870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42" customHeight="1">
      <c r="A48" s="829"/>
      <c r="B48" s="829"/>
      <c r="C48" s="829"/>
      <c r="D48" s="829"/>
      <c r="E48" s="829"/>
      <c r="F48" s="829"/>
      <c r="G48" s="829"/>
      <c r="H48" s="829"/>
      <c r="I48" s="829"/>
      <c r="J48" s="829"/>
      <c r="K48" s="829"/>
      <c r="L48" s="829"/>
      <c r="M48" s="829"/>
      <c r="N48" s="829"/>
      <c r="O48" s="829"/>
      <c r="P48" s="829"/>
      <c r="Q48" s="829"/>
      <c r="R48" s="84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691</v>
      </c>
      <c r="AH48" s="87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72"/>
      <c r="AJ48" s="872"/>
      <c r="AK48" s="872"/>
      <c r="AL48" s="873"/>
      <c r="AM48" s="874" t="str">
        <f>Table115[المنتج]</f>
        <v>MESH</v>
      </c>
      <c r="AN48" s="875"/>
      <c r="AO48" s="870"/>
      <c r="AP48" s="870"/>
      <c r="AQ48" s="454"/>
      <c r="AR48" s="626"/>
      <c r="AS48" s="431"/>
      <c r="AT48" s="431"/>
      <c r="BD48" s="431"/>
      <c r="BE48" s="431"/>
      <c r="BN48" s="407"/>
    </row>
    <row r="49" ht="42" customHeight="1">
      <c r="A49" s="829"/>
      <c r="B49" s="829"/>
      <c r="C49" s="829"/>
      <c r="D49" s="829"/>
      <c r="E49" s="829"/>
      <c r="F49" s="829"/>
      <c r="G49" s="829"/>
      <c r="H49" s="829"/>
      <c r="I49" s="829"/>
      <c r="J49" s="829"/>
      <c r="K49" s="829"/>
      <c r="L49" s="829"/>
      <c r="M49" s="829"/>
      <c r="N49" s="829"/>
      <c r="O49" s="829"/>
      <c r="P49" s="829"/>
      <c r="Q49" s="829"/>
      <c r="R49" s="84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691</v>
      </c>
      <c r="AH49" s="876" t="s">
        <v>692</v>
      </c>
      <c r="AI49" s="876"/>
      <c r="AJ49" s="876"/>
      <c r="AK49" s="876"/>
      <c r="AL49" s="877"/>
      <c r="AM49" s="87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79"/>
      <c r="AO49" s="871"/>
      <c r="AP49" s="871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9"/>
      <c r="B50" s="829"/>
      <c r="C50" s="829"/>
      <c r="D50" s="829"/>
      <c r="E50" s="829"/>
      <c r="F50" s="829"/>
      <c r="G50" s="829"/>
      <c r="H50" s="829"/>
      <c r="I50" s="829"/>
      <c r="J50" s="829"/>
      <c r="K50" s="829"/>
      <c r="L50" s="829"/>
      <c r="M50" s="829"/>
      <c r="N50" s="829"/>
      <c r="O50" s="829"/>
      <c r="P50" s="829"/>
      <c r="Q50" s="829"/>
      <c r="R50" s="84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691</v>
      </c>
      <c r="AH50" s="876" t="s">
        <v>693</v>
      </c>
      <c r="AI50" s="876"/>
      <c r="AJ50" s="876"/>
      <c r="AK50" s="876"/>
      <c r="AL50" s="877"/>
      <c r="AM50" s="878"/>
      <c r="AN50" s="879"/>
      <c r="AO50" s="869"/>
      <c r="AP50" s="869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9"/>
      <c r="B51" s="829"/>
      <c r="C51" s="829"/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  <c r="O51" s="829"/>
      <c r="P51" s="829"/>
      <c r="Q51" s="829"/>
      <c r="R51" s="845"/>
      <c r="S51" s="432" t="s">
        <v>694</v>
      </c>
      <c r="T51" s="444">
        <f>IF((T52="double"),(T54*T55/5000),(T54*T55/10000))</f>
        <v>25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691</v>
      </c>
      <c r="AH51" s="882" t="s">
        <v>695</v>
      </c>
      <c r="AI51" s="882"/>
      <c r="AJ51" s="882"/>
      <c r="AK51" s="882"/>
      <c r="AL51" s="883"/>
      <c r="AM51" s="880"/>
      <c r="AN51" s="881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9"/>
      <c r="B52" s="829"/>
      <c r="C52" s="829"/>
      <c r="D52" s="829"/>
      <c r="E52" s="829"/>
      <c r="F52" s="829"/>
      <c r="G52" s="829"/>
      <c r="H52" s="829"/>
      <c r="I52" s="829"/>
      <c r="J52" s="829"/>
      <c r="K52" s="829"/>
      <c r="L52" s="829"/>
      <c r="M52" s="829"/>
      <c r="N52" s="829"/>
      <c r="O52" s="829"/>
      <c r="P52" s="829"/>
      <c r="Q52" s="829"/>
      <c r="R52" s="845"/>
      <c r="S52" s="432" t="s">
        <v>696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9"/>
      <c r="B53" s="829"/>
      <c r="C53" s="829"/>
      <c r="D53" s="829"/>
      <c r="E53" s="829"/>
      <c r="F53" s="829"/>
      <c r="G53" s="829"/>
      <c r="H53" s="829"/>
      <c r="I53" s="829"/>
      <c r="J53" s="829"/>
      <c r="K53" s="829"/>
      <c r="L53" s="829"/>
      <c r="M53" s="829"/>
      <c r="N53" s="829"/>
      <c r="O53" s="829"/>
      <c r="P53" s="829"/>
      <c r="Q53" s="829"/>
      <c r="R53" s="845"/>
      <c r="S53" s="432" t="s">
        <v>660</v>
      </c>
      <c r="T53" s="444" t="s">
        <v>614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9"/>
      <c r="B54" s="829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  <c r="O54" s="829"/>
      <c r="P54" s="829"/>
      <c r="Q54" s="829"/>
      <c r="R54" s="845"/>
      <c r="S54" s="432" t="s">
        <v>661</v>
      </c>
      <c r="T54" s="446">
        <v>500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8"/>
      <c r="BA54" s="848"/>
      <c r="BB54" s="848"/>
      <c r="BD54" s="430" t="s">
        <v>664</v>
      </c>
      <c r="BE54" s="430">
        <v>400</v>
      </c>
      <c r="BF54" s="477"/>
      <c r="BK54" s="848"/>
      <c r="BL54" s="848"/>
      <c r="BM54" s="848"/>
      <c r="BN54" s="407"/>
    </row>
    <row r="55" ht="42" customHeight="1">
      <c r="A55" s="829"/>
      <c r="B55" s="829"/>
      <c r="C55" s="829"/>
      <c r="D55" s="829"/>
      <c r="E55" s="829"/>
      <c r="F55" s="829"/>
      <c r="G55" s="829"/>
      <c r="H55" s="829"/>
      <c r="I55" s="829"/>
      <c r="J55" s="829"/>
      <c r="K55" s="829"/>
      <c r="L55" s="829"/>
      <c r="M55" s="829"/>
      <c r="N55" s="829"/>
      <c r="O55" s="829"/>
      <c r="P55" s="829"/>
      <c r="Q55" s="829"/>
      <c r="R55" s="84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9"/>
      <c r="B56" s="829"/>
      <c r="C56" s="829"/>
      <c r="D56" s="829"/>
      <c r="E56" s="829"/>
      <c r="F56" s="829"/>
      <c r="G56" s="829"/>
      <c r="H56" s="829"/>
      <c r="I56" s="829"/>
      <c r="J56" s="829"/>
      <c r="K56" s="829"/>
      <c r="L56" s="829"/>
      <c r="M56" s="829"/>
      <c r="N56" s="829"/>
      <c r="O56" s="829"/>
      <c r="P56" s="829"/>
      <c r="Q56" s="829"/>
      <c r="R56" s="845"/>
      <c r="S56" s="449"/>
      <c r="T56" s="449"/>
      <c r="U56" s="449"/>
      <c r="V56" s="449"/>
      <c r="W56" s="451">
        <f>T54</f>
        <v>500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9"/>
      <c r="B57" s="829"/>
      <c r="C57" s="829"/>
      <c r="D57" s="829"/>
      <c r="E57" s="829"/>
      <c r="F57" s="829"/>
      <c r="G57" s="829"/>
      <c r="H57" s="829"/>
      <c r="I57" s="829"/>
      <c r="J57" s="829"/>
      <c r="K57" s="829"/>
      <c r="L57" s="829"/>
      <c r="M57" s="829"/>
      <c r="N57" s="829"/>
      <c r="O57" s="829"/>
      <c r="P57" s="829"/>
      <c r="Q57" s="829"/>
      <c r="R57" s="84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52">
        <f>('بيرسا و لوفرز'!BA14+'بيرسا و لوفرز'!BP62+'بيرسا و لوفرز'!BQ54)*1.35</f>
        <v>151084.845</v>
      </c>
      <c r="AT57" s="853"/>
      <c r="BD57" s="852">
        <f>('بيرسا و لوفرز'!BA85+'بيرسا و لوفرز'!BP133+'بيرسا و لوفرز'!BQ125)*1.35</f>
        <v>151084.845</v>
      </c>
      <c r="BE57" s="853"/>
      <c r="BN57" s="407"/>
    </row>
    <row r="58" ht="42" customHeight="1">
      <c r="A58" s="829"/>
      <c r="B58" s="829"/>
      <c r="C58" s="829"/>
      <c r="D58" s="829"/>
      <c r="E58" s="829"/>
      <c r="F58" s="829"/>
      <c r="G58" s="829"/>
      <c r="H58" s="829"/>
      <c r="I58" s="829"/>
      <c r="J58" s="829"/>
      <c r="K58" s="829"/>
      <c r="L58" s="829"/>
      <c r="M58" s="829"/>
      <c r="N58" s="829"/>
      <c r="O58" s="829"/>
      <c r="P58" s="829"/>
      <c r="Q58" s="829"/>
      <c r="R58" s="84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3">
        <f>AS57/(AT53*AT54/10000)</f>
        <v>7554.24225</v>
      </c>
      <c r="AT58" s="844"/>
      <c r="BD58" s="843">
        <f>BD57/(BE53*BE54/10000)</f>
        <v>7554.24225</v>
      </c>
      <c r="BE58" s="844"/>
      <c r="BN58" s="407"/>
    </row>
    <row r="59" ht="75" customHeight="1">
      <c r="A59" s="829"/>
      <c r="B59" s="829"/>
      <c r="C59" s="829"/>
      <c r="D59" s="829"/>
      <c r="E59" s="829"/>
      <c r="F59" s="829"/>
      <c r="G59" s="829"/>
      <c r="H59" s="829"/>
      <c r="I59" s="829"/>
      <c r="J59" s="829"/>
      <c r="K59" s="829"/>
      <c r="L59" s="829"/>
      <c r="M59" s="829"/>
      <c r="N59" s="829"/>
      <c r="O59" s="829"/>
      <c r="P59" s="829"/>
      <c r="Q59" s="829"/>
      <c r="R59" s="84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15" customHeight="1">
      <c r="A60" s="829" t="s">
        <v>697</v>
      </c>
      <c r="B60" s="829"/>
      <c r="C60" s="829"/>
      <c r="D60" s="829"/>
      <c r="E60" s="829"/>
      <c r="F60" s="829"/>
      <c r="G60" s="829"/>
      <c r="H60" s="829"/>
      <c r="I60" s="829"/>
      <c r="J60" s="829"/>
      <c r="K60" s="829"/>
      <c r="L60" s="829"/>
      <c r="M60" s="829"/>
      <c r="N60" s="829"/>
      <c r="O60" s="829"/>
      <c r="P60" s="829"/>
      <c r="Q60" s="829"/>
      <c r="R60" s="845"/>
      <c r="S60" s="834" t="s">
        <v>686</v>
      </c>
      <c r="T60" s="835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15" customHeight="1">
      <c r="A61" s="829"/>
      <c r="B61" s="829"/>
      <c r="C61" s="829"/>
      <c r="D61" s="829"/>
      <c r="E61" s="829"/>
      <c r="F61" s="829"/>
      <c r="G61" s="829"/>
      <c r="H61" s="829"/>
      <c r="I61" s="829"/>
      <c r="J61" s="829"/>
      <c r="K61" s="829"/>
      <c r="L61" s="829"/>
      <c r="M61" s="829"/>
      <c r="N61" s="829"/>
      <c r="O61" s="829"/>
      <c r="P61" s="829"/>
      <c r="Q61" s="829"/>
      <c r="R61" s="845"/>
      <c r="S61" s="434" t="s">
        <v>649</v>
      </c>
      <c r="T61" s="435">
        <f>'شماسي و كانتليفر'!N84</f>
        <v>114794.55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">
      <c r="A62" s="829"/>
      <c r="B62" s="829"/>
      <c r="C62" s="829"/>
      <c r="D62" s="829"/>
      <c r="E62" s="829"/>
      <c r="F62" s="829"/>
      <c r="G62" s="829"/>
      <c r="H62" s="829"/>
      <c r="I62" s="829"/>
      <c r="J62" s="829"/>
      <c r="K62" s="829"/>
      <c r="L62" s="829"/>
      <c r="M62" s="829"/>
      <c r="N62" s="829"/>
      <c r="O62" s="829"/>
      <c r="P62" s="829"/>
      <c r="Q62" s="829"/>
      <c r="R62" s="845"/>
      <c r="S62" s="436" t="s">
        <v>127</v>
      </c>
      <c r="T62" s="435">
        <f>T61/T69</f>
        <v>4591.782</v>
      </c>
      <c r="U62" s="449"/>
      <c r="V62" s="449"/>
      <c r="W62" s="449"/>
      <c r="X62" s="449"/>
      <c r="Y62" s="828"/>
      <c r="Z62" s="828"/>
      <c r="AA62" s="449"/>
      <c r="AB62" s="449"/>
      <c r="AC62" s="449"/>
      <c r="AQ62" s="406"/>
      <c r="BN62" s="407"/>
    </row>
    <row r="63" ht="28.5">
      <c r="A63" s="829"/>
      <c r="B63" s="829"/>
      <c r="C63" s="829"/>
      <c r="D63" s="829"/>
      <c r="E63" s="829"/>
      <c r="F63" s="829"/>
      <c r="G63" s="829"/>
      <c r="H63" s="829"/>
      <c r="I63" s="829"/>
      <c r="J63" s="829"/>
      <c r="K63" s="829"/>
      <c r="L63" s="829"/>
      <c r="M63" s="829"/>
      <c r="N63" s="829"/>
      <c r="O63" s="829"/>
      <c r="P63" s="829"/>
      <c r="Q63" s="829"/>
      <c r="R63" s="845"/>
      <c r="S63" s="432" t="s">
        <v>650</v>
      </c>
      <c r="T63" s="433" t="s">
        <v>21</v>
      </c>
      <c r="U63" s="449"/>
      <c r="V63" s="449"/>
      <c r="W63" s="449"/>
      <c r="X63" s="449"/>
      <c r="Y63" s="828"/>
      <c r="Z63" s="828"/>
      <c r="AA63" s="449"/>
      <c r="AB63" s="449"/>
      <c r="AC63" s="449"/>
      <c r="AQ63" s="406"/>
      <c r="BN63" s="407"/>
    </row>
    <row r="64" ht="28.5">
      <c r="A64" s="829"/>
      <c r="B64" s="829"/>
      <c r="C64" s="829"/>
      <c r="D64" s="829"/>
      <c r="E64" s="829"/>
      <c r="F64" s="829"/>
      <c r="G64" s="829"/>
      <c r="H64" s="829"/>
      <c r="I64" s="829"/>
      <c r="J64" s="829"/>
      <c r="K64" s="829"/>
      <c r="L64" s="829"/>
      <c r="M64" s="829"/>
      <c r="N64" s="829"/>
      <c r="O64" s="829"/>
      <c r="P64" s="829"/>
      <c r="Q64" s="829"/>
      <c r="R64" s="845"/>
      <c r="S64" s="437" t="s">
        <v>609</v>
      </c>
      <c r="T64" s="438" t="s">
        <v>616</v>
      </c>
      <c r="U64" s="449"/>
      <c r="V64" s="449"/>
      <c r="W64" s="449"/>
      <c r="X64" s="449"/>
      <c r="Y64" s="828"/>
      <c r="Z64" s="828"/>
      <c r="AA64" s="449"/>
      <c r="AB64" s="449"/>
      <c r="AC64" s="449"/>
      <c r="AQ64" s="406"/>
      <c r="BN64" s="407"/>
    </row>
    <row r="65" ht="28.5">
      <c r="A65" s="829"/>
      <c r="B65" s="829"/>
      <c r="C65" s="829"/>
      <c r="D65" s="829"/>
      <c r="E65" s="829"/>
      <c r="F65" s="829"/>
      <c r="G65" s="829"/>
      <c r="H65" s="829"/>
      <c r="I65" s="829"/>
      <c r="J65" s="829"/>
      <c r="K65" s="829"/>
      <c r="L65" s="829"/>
      <c r="M65" s="829"/>
      <c r="N65" s="829"/>
      <c r="O65" s="829"/>
      <c r="P65" s="829"/>
      <c r="Q65" s="829"/>
      <c r="R65" s="845"/>
      <c r="S65" s="432" t="s">
        <v>690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9"/>
      <c r="B66" s="829"/>
      <c r="C66" s="829"/>
      <c r="D66" s="829"/>
      <c r="E66" s="829"/>
      <c r="F66" s="829"/>
      <c r="G66" s="829"/>
      <c r="H66" s="829"/>
      <c r="I66" s="829"/>
      <c r="J66" s="829"/>
      <c r="K66" s="829"/>
      <c r="L66" s="829"/>
      <c r="M66" s="829"/>
      <c r="N66" s="829"/>
      <c r="O66" s="829"/>
      <c r="P66" s="829"/>
      <c r="Q66" s="829"/>
      <c r="R66" s="84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9"/>
      <c r="B67" s="829"/>
      <c r="C67" s="829"/>
      <c r="D67" s="829"/>
      <c r="E67" s="829"/>
      <c r="F67" s="829"/>
      <c r="G67" s="829"/>
      <c r="H67" s="829"/>
      <c r="I67" s="829"/>
      <c r="J67" s="829"/>
      <c r="K67" s="829"/>
      <c r="L67" s="829"/>
      <c r="M67" s="829"/>
      <c r="N67" s="829"/>
      <c r="O67" s="829"/>
      <c r="P67" s="829"/>
      <c r="Q67" s="829"/>
      <c r="R67" s="84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9"/>
      <c r="B68" s="829"/>
      <c r="C68" s="829"/>
      <c r="D68" s="829"/>
      <c r="E68" s="829"/>
      <c r="F68" s="829"/>
      <c r="G68" s="829"/>
      <c r="H68" s="829"/>
      <c r="I68" s="829"/>
      <c r="J68" s="829"/>
      <c r="K68" s="829"/>
      <c r="L68" s="829"/>
      <c r="M68" s="829"/>
      <c r="N68" s="829"/>
      <c r="O68" s="829"/>
      <c r="P68" s="829"/>
      <c r="Q68" s="829"/>
      <c r="R68" s="84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9"/>
      <c r="B69" s="829"/>
      <c r="C69" s="829"/>
      <c r="D69" s="829"/>
      <c r="E69" s="829"/>
      <c r="F69" s="829"/>
      <c r="G69" s="829"/>
      <c r="H69" s="829"/>
      <c r="I69" s="829"/>
      <c r="J69" s="829"/>
      <c r="K69" s="829"/>
      <c r="L69" s="829"/>
      <c r="M69" s="829"/>
      <c r="N69" s="829"/>
      <c r="O69" s="829"/>
      <c r="P69" s="829"/>
      <c r="Q69" s="829"/>
      <c r="R69" s="845"/>
      <c r="S69" s="432" t="s">
        <v>694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9"/>
      <c r="B70" s="829"/>
      <c r="C70" s="829"/>
      <c r="D70" s="829"/>
      <c r="E70" s="829"/>
      <c r="F70" s="829"/>
      <c r="G70" s="829"/>
      <c r="H70" s="829"/>
      <c r="I70" s="829"/>
      <c r="J70" s="829"/>
      <c r="K70" s="829"/>
      <c r="L70" s="829"/>
      <c r="M70" s="829"/>
      <c r="N70" s="829"/>
      <c r="O70" s="829"/>
      <c r="P70" s="829"/>
      <c r="Q70" s="829"/>
      <c r="R70" s="845"/>
      <c r="S70" s="432" t="s">
        <v>696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9"/>
      <c r="B71" s="829"/>
      <c r="C71" s="829"/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  <c r="O71" s="829"/>
      <c r="P71" s="829"/>
      <c r="Q71" s="829"/>
      <c r="R71" s="84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9"/>
      <c r="B72" s="829"/>
      <c r="C72" s="829"/>
      <c r="D72" s="829"/>
      <c r="E72" s="829"/>
      <c r="F72" s="829"/>
      <c r="G72" s="829"/>
      <c r="H72" s="829"/>
      <c r="I72" s="829"/>
      <c r="J72" s="829"/>
      <c r="K72" s="829"/>
      <c r="L72" s="829"/>
      <c r="M72" s="829"/>
      <c r="N72" s="829"/>
      <c r="O72" s="829"/>
      <c r="P72" s="829"/>
      <c r="Q72" s="829"/>
      <c r="R72" s="84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9"/>
      <c r="B73" s="829"/>
      <c r="C73" s="829"/>
      <c r="D73" s="829"/>
      <c r="E73" s="829"/>
      <c r="F73" s="829"/>
      <c r="G73" s="829"/>
      <c r="H73" s="829"/>
      <c r="I73" s="829"/>
      <c r="J73" s="829"/>
      <c r="K73" s="829"/>
      <c r="L73" s="829"/>
      <c r="M73" s="829"/>
      <c r="N73" s="829"/>
      <c r="O73" s="829"/>
      <c r="P73" s="829"/>
      <c r="Q73" s="829"/>
      <c r="R73" s="84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9"/>
      <c r="B74" s="829"/>
      <c r="C74" s="829"/>
      <c r="D74" s="829"/>
      <c r="E74" s="829"/>
      <c r="F74" s="829"/>
      <c r="G74" s="829"/>
      <c r="H74" s="829"/>
      <c r="I74" s="829"/>
      <c r="J74" s="829"/>
      <c r="K74" s="829"/>
      <c r="L74" s="829"/>
      <c r="M74" s="829"/>
      <c r="N74" s="829"/>
      <c r="O74" s="829"/>
      <c r="P74" s="829"/>
      <c r="Q74" s="829"/>
      <c r="R74" s="84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9"/>
      <c r="B75" s="829"/>
      <c r="C75" s="829"/>
      <c r="D75" s="829"/>
      <c r="E75" s="829"/>
      <c r="F75" s="829"/>
      <c r="G75" s="829"/>
      <c r="H75" s="829"/>
      <c r="I75" s="829"/>
      <c r="J75" s="829"/>
      <c r="K75" s="829"/>
      <c r="L75" s="829"/>
      <c r="M75" s="829"/>
      <c r="N75" s="829"/>
      <c r="O75" s="829"/>
      <c r="P75" s="829"/>
      <c r="Q75" s="829"/>
      <c r="R75" s="84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9"/>
      <c r="B76" s="829"/>
      <c r="C76" s="829"/>
      <c r="D76" s="829"/>
      <c r="E76" s="829"/>
      <c r="F76" s="829"/>
      <c r="G76" s="829"/>
      <c r="H76" s="829"/>
      <c r="I76" s="829"/>
      <c r="J76" s="829"/>
      <c r="K76" s="829"/>
      <c r="L76" s="829"/>
      <c r="M76" s="829"/>
      <c r="N76" s="829"/>
      <c r="O76" s="829"/>
      <c r="P76" s="829"/>
      <c r="Q76" s="829"/>
      <c r="R76" s="84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45"/>
      <c r="AR77" s="406"/>
      <c r="BN77" s="407"/>
    </row>
    <row r="78" ht="15" customHeight="1">
      <c r="A78" s="827" t="s">
        <v>440</v>
      </c>
      <c r="B78" s="827"/>
      <c r="C78" s="827"/>
      <c r="D78" s="827"/>
      <c r="E78" s="827"/>
      <c r="F78" s="827"/>
      <c r="G78" s="827"/>
      <c r="H78" s="827"/>
      <c r="I78" s="827"/>
      <c r="J78" s="827"/>
      <c r="K78" s="827"/>
      <c r="L78" s="827"/>
      <c r="M78" s="827"/>
      <c r="N78" s="827"/>
      <c r="O78" s="827"/>
      <c r="P78" s="827"/>
      <c r="Q78" s="827"/>
      <c r="R78" s="84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7"/>
      <c r="B79" s="827"/>
      <c r="C79" s="827"/>
      <c r="D79" s="827"/>
      <c r="E79" s="827"/>
      <c r="F79" s="827"/>
      <c r="G79" s="827"/>
      <c r="H79" s="827"/>
      <c r="I79" s="827"/>
      <c r="J79" s="827"/>
      <c r="K79" s="827"/>
      <c r="L79" s="827"/>
      <c r="M79" s="827"/>
      <c r="N79" s="827"/>
      <c r="O79" s="827"/>
      <c r="P79" s="827"/>
      <c r="Q79" s="827"/>
      <c r="R79" s="845"/>
      <c r="AC79" s="406"/>
      <c r="AR79" s="406"/>
      <c r="BB79" s="406"/>
      <c r="BM79" s="407"/>
    </row>
    <row r="80" ht="38.25" customHeight="1">
      <c r="A80" s="827"/>
      <c r="B80" s="827"/>
      <c r="C80" s="827"/>
      <c r="D80" s="827"/>
      <c r="E80" s="827"/>
      <c r="F80" s="827"/>
      <c r="G80" s="827"/>
      <c r="H80" s="827"/>
      <c r="I80" s="827"/>
      <c r="J80" s="827"/>
      <c r="K80" s="827"/>
      <c r="L80" s="827"/>
      <c r="M80" s="827"/>
      <c r="N80" s="827"/>
      <c r="O80" s="827"/>
      <c r="P80" s="827"/>
      <c r="Q80" s="827"/>
      <c r="R80" s="845"/>
      <c r="AR80" s="406"/>
      <c r="BB80" s="406"/>
      <c r="BM80" s="407"/>
    </row>
    <row r="81" ht="38.25" customHeight="1">
      <c r="A81" s="827"/>
      <c r="B81" s="827"/>
      <c r="C81" s="827"/>
      <c r="D81" s="827"/>
      <c r="E81" s="827"/>
      <c r="F81" s="827"/>
      <c r="G81" s="827"/>
      <c r="H81" s="827"/>
      <c r="I81" s="827"/>
      <c r="J81" s="827"/>
      <c r="K81" s="827"/>
      <c r="L81" s="827"/>
      <c r="M81" s="827"/>
      <c r="N81" s="827"/>
      <c r="O81" s="827"/>
      <c r="P81" s="827"/>
      <c r="Q81" s="827"/>
      <c r="R81" s="845"/>
      <c r="AR81" s="406"/>
      <c r="BB81" s="406"/>
      <c r="BM81" s="407"/>
    </row>
    <row r="82" ht="38.25" customHeight="1">
      <c r="A82" s="827"/>
      <c r="B82" s="827"/>
      <c r="C82" s="827"/>
      <c r="D82" s="827"/>
      <c r="E82" s="827"/>
      <c r="F82" s="827"/>
      <c r="G82" s="827"/>
      <c r="H82" s="827"/>
      <c r="I82" s="827"/>
      <c r="J82" s="827"/>
      <c r="K82" s="827"/>
      <c r="L82" s="827"/>
      <c r="M82" s="827"/>
      <c r="N82" s="827"/>
      <c r="O82" s="827"/>
      <c r="P82" s="827"/>
      <c r="Q82" s="827"/>
      <c r="R82" s="845"/>
      <c r="AR82" s="406"/>
      <c r="BB82" s="406"/>
      <c r="BM82" s="407"/>
    </row>
    <row r="83" ht="38.25" customHeight="1">
      <c r="A83" s="827"/>
      <c r="B83" s="827"/>
      <c r="C83" s="827"/>
      <c r="D83" s="827"/>
      <c r="E83" s="827"/>
      <c r="F83" s="827"/>
      <c r="G83" s="827"/>
      <c r="H83" s="827"/>
      <c r="I83" s="827"/>
      <c r="J83" s="827"/>
      <c r="K83" s="827"/>
      <c r="L83" s="827"/>
      <c r="M83" s="827"/>
      <c r="N83" s="827"/>
      <c r="O83" s="827"/>
      <c r="P83" s="827"/>
      <c r="Q83" s="827"/>
      <c r="R83" s="845"/>
      <c r="AR83" s="406"/>
      <c r="BB83" s="406"/>
      <c r="BM83" s="407"/>
    </row>
    <row r="84" ht="38.25" customHeight="1">
      <c r="A84" s="827"/>
      <c r="B84" s="827"/>
      <c r="C84" s="827"/>
      <c r="D84" s="827"/>
      <c r="E84" s="827"/>
      <c r="F84" s="827"/>
      <c r="G84" s="827"/>
      <c r="H84" s="827"/>
      <c r="I84" s="827"/>
      <c r="J84" s="827"/>
      <c r="K84" s="827"/>
      <c r="L84" s="827"/>
      <c r="M84" s="827"/>
      <c r="N84" s="827"/>
      <c r="O84" s="827"/>
      <c r="P84" s="827"/>
      <c r="Q84" s="827"/>
      <c r="R84" s="845"/>
      <c r="AR84" s="406"/>
      <c r="BB84" s="406"/>
      <c r="BM84" s="407"/>
    </row>
    <row r="85" ht="38.25" customHeight="1">
      <c r="A85" s="827"/>
      <c r="B85" s="827"/>
      <c r="C85" s="827"/>
      <c r="D85" s="827"/>
      <c r="E85" s="827"/>
      <c r="F85" s="827"/>
      <c r="G85" s="827"/>
      <c r="H85" s="827"/>
      <c r="I85" s="827"/>
      <c r="J85" s="827"/>
      <c r="K85" s="827"/>
      <c r="L85" s="827"/>
      <c r="M85" s="827"/>
      <c r="N85" s="827"/>
      <c r="O85" s="827"/>
      <c r="P85" s="827"/>
      <c r="Q85" s="827"/>
      <c r="R85" s="845"/>
      <c r="AR85" s="406"/>
      <c r="BB85" s="406"/>
      <c r="BM85" s="407"/>
    </row>
    <row r="86" ht="38.25" customHeight="1">
      <c r="A86" s="827"/>
      <c r="B86" s="827"/>
      <c r="C86" s="827"/>
      <c r="D86" s="827"/>
      <c r="E86" s="827"/>
      <c r="F86" s="827"/>
      <c r="G86" s="827"/>
      <c r="H86" s="827"/>
      <c r="I86" s="827"/>
      <c r="J86" s="827"/>
      <c r="K86" s="827"/>
      <c r="L86" s="827"/>
      <c r="M86" s="827"/>
      <c r="N86" s="827"/>
      <c r="O86" s="827"/>
      <c r="P86" s="827"/>
      <c r="Q86" s="827"/>
      <c r="R86" s="845"/>
      <c r="AR86" s="406"/>
      <c r="BB86" s="406"/>
      <c r="BM86" s="407"/>
    </row>
    <row r="87" ht="38.25" customHeight="1">
      <c r="A87" s="827"/>
      <c r="B87" s="827"/>
      <c r="C87" s="827"/>
      <c r="D87" s="827"/>
      <c r="E87" s="827"/>
      <c r="F87" s="827"/>
      <c r="G87" s="827"/>
      <c r="H87" s="827"/>
      <c r="I87" s="827"/>
      <c r="J87" s="827"/>
      <c r="K87" s="827"/>
      <c r="L87" s="827"/>
      <c r="M87" s="827"/>
      <c r="N87" s="827"/>
      <c r="O87" s="827"/>
      <c r="P87" s="827"/>
      <c r="Q87" s="827"/>
      <c r="R87" s="845"/>
      <c r="AR87" s="406"/>
      <c r="BB87" s="406"/>
      <c r="BM87" s="407"/>
    </row>
    <row r="88" ht="38.25" customHeight="1">
      <c r="A88" s="827"/>
      <c r="B88" s="827"/>
      <c r="C88" s="827"/>
      <c r="D88" s="827"/>
      <c r="E88" s="827"/>
      <c r="F88" s="827"/>
      <c r="G88" s="827"/>
      <c r="H88" s="827"/>
      <c r="I88" s="827"/>
      <c r="J88" s="827"/>
      <c r="K88" s="827"/>
      <c r="L88" s="827"/>
      <c r="M88" s="827"/>
      <c r="N88" s="827"/>
      <c r="O88" s="827"/>
      <c r="P88" s="827"/>
      <c r="Q88" s="827"/>
      <c r="R88" s="845"/>
      <c r="AR88" s="406"/>
      <c r="BB88" s="406"/>
      <c r="BM88" s="407"/>
    </row>
    <row r="89" ht="38.25" customHeight="1">
      <c r="A89" s="827"/>
      <c r="B89" s="827"/>
      <c r="C89" s="827"/>
      <c r="D89" s="827"/>
      <c r="E89" s="827"/>
      <c r="F89" s="827"/>
      <c r="G89" s="827"/>
      <c r="H89" s="827"/>
      <c r="I89" s="827"/>
      <c r="J89" s="827"/>
      <c r="K89" s="827"/>
      <c r="L89" s="827"/>
      <c r="M89" s="827"/>
      <c r="N89" s="827"/>
      <c r="O89" s="827"/>
      <c r="P89" s="827"/>
      <c r="Q89" s="827"/>
      <c r="R89" s="845"/>
      <c r="AR89" s="406"/>
      <c r="BB89" s="406"/>
      <c r="BM89" s="407"/>
    </row>
    <row r="90" ht="38.25" customHeight="1">
      <c r="A90" s="827"/>
      <c r="B90" s="827"/>
      <c r="C90" s="827"/>
      <c r="D90" s="827"/>
      <c r="E90" s="827"/>
      <c r="F90" s="827"/>
      <c r="G90" s="827"/>
      <c r="H90" s="827"/>
      <c r="I90" s="827"/>
      <c r="J90" s="827"/>
      <c r="K90" s="827"/>
      <c r="L90" s="827"/>
      <c r="M90" s="827"/>
      <c r="N90" s="827"/>
      <c r="O90" s="827"/>
      <c r="P90" s="827"/>
      <c r="Q90" s="827"/>
      <c r="R90" s="845"/>
      <c r="AR90" s="406"/>
      <c r="BB90" s="406"/>
      <c r="BM90" s="407"/>
    </row>
    <row r="91" ht="38.25" customHeight="1">
      <c r="A91" s="827"/>
      <c r="B91" s="827"/>
      <c r="C91" s="827"/>
      <c r="D91" s="827"/>
      <c r="E91" s="827"/>
      <c r="F91" s="827"/>
      <c r="G91" s="827"/>
      <c r="H91" s="827"/>
      <c r="I91" s="827"/>
      <c r="J91" s="827"/>
      <c r="K91" s="827"/>
      <c r="L91" s="827"/>
      <c r="M91" s="827"/>
      <c r="N91" s="827"/>
      <c r="O91" s="827"/>
      <c r="P91" s="827"/>
      <c r="Q91" s="827"/>
      <c r="R91" s="845"/>
      <c r="AR91" s="406"/>
      <c r="BB91" s="406"/>
      <c r="BM91" s="407"/>
    </row>
    <row r="92" ht="38.25" customHeight="1">
      <c r="A92" s="827"/>
      <c r="B92" s="827"/>
      <c r="C92" s="827"/>
      <c r="D92" s="827"/>
      <c r="E92" s="827"/>
      <c r="F92" s="827"/>
      <c r="G92" s="827"/>
      <c r="H92" s="827"/>
      <c r="I92" s="827"/>
      <c r="J92" s="827"/>
      <c r="K92" s="827"/>
      <c r="L92" s="827"/>
      <c r="M92" s="827"/>
      <c r="N92" s="827"/>
      <c r="O92" s="827"/>
      <c r="P92" s="827"/>
      <c r="Q92" s="827"/>
      <c r="R92" s="845"/>
      <c r="AR92" s="406"/>
      <c r="BB92" s="406"/>
      <c r="BM92" s="407"/>
    </row>
    <row r="93" ht="38.25" customHeight="1">
      <c r="A93" s="827"/>
      <c r="B93" s="827"/>
      <c r="C93" s="827"/>
      <c r="D93" s="827"/>
      <c r="E93" s="827"/>
      <c r="F93" s="827"/>
      <c r="G93" s="827"/>
      <c r="H93" s="827"/>
      <c r="I93" s="827"/>
      <c r="J93" s="827"/>
      <c r="K93" s="827"/>
      <c r="L93" s="827"/>
      <c r="M93" s="827"/>
      <c r="N93" s="827"/>
      <c r="O93" s="827"/>
      <c r="P93" s="827"/>
      <c r="Q93" s="827"/>
      <c r="R93" s="845"/>
      <c r="AR93" s="406"/>
      <c r="BB93" s="406"/>
      <c r="BM93" s="407"/>
    </row>
    <row r="94" ht="38.25" customHeight="1">
      <c r="A94" s="827"/>
      <c r="B94" s="827"/>
      <c r="C94" s="827"/>
      <c r="D94" s="827"/>
      <c r="E94" s="827"/>
      <c r="F94" s="827"/>
      <c r="G94" s="827"/>
      <c r="H94" s="827"/>
      <c r="I94" s="827"/>
      <c r="J94" s="827"/>
      <c r="K94" s="827"/>
      <c r="L94" s="827"/>
      <c r="M94" s="827"/>
      <c r="N94" s="827"/>
      <c r="O94" s="827"/>
      <c r="P94" s="827"/>
      <c r="Q94" s="827"/>
      <c r="R94" s="845"/>
      <c r="AR94" s="406"/>
      <c r="BB94" s="406"/>
      <c r="BM94" s="407"/>
    </row>
    <row r="95" ht="38.25" customHeight="1">
      <c r="A95" s="827"/>
      <c r="B95" s="827"/>
      <c r="C95" s="827"/>
      <c r="D95" s="827"/>
      <c r="E95" s="827"/>
      <c r="F95" s="827"/>
      <c r="G95" s="827"/>
      <c r="H95" s="827"/>
      <c r="I95" s="827"/>
      <c r="J95" s="827"/>
      <c r="K95" s="827"/>
      <c r="L95" s="827"/>
      <c r="M95" s="827"/>
      <c r="N95" s="827"/>
      <c r="O95" s="827"/>
      <c r="P95" s="827"/>
      <c r="Q95" s="827"/>
      <c r="R95" s="845"/>
      <c r="AR95" s="406"/>
      <c r="BB95" s="406"/>
      <c r="BM95" s="407"/>
    </row>
    <row r="96" ht="38.25" customHeight="1">
      <c r="A96" s="827"/>
      <c r="B96" s="827"/>
      <c r="C96" s="827"/>
      <c r="D96" s="827"/>
      <c r="E96" s="827"/>
      <c r="F96" s="827"/>
      <c r="G96" s="827"/>
      <c r="H96" s="827"/>
      <c r="I96" s="827"/>
      <c r="J96" s="827"/>
      <c r="K96" s="827"/>
      <c r="L96" s="827"/>
      <c r="M96" s="827"/>
      <c r="N96" s="827"/>
      <c r="O96" s="827"/>
      <c r="P96" s="827"/>
      <c r="Q96" s="827"/>
      <c r="R96" s="845"/>
      <c r="AR96" s="406"/>
      <c r="BB96" s="406"/>
      <c r="BM96" s="407"/>
    </row>
    <row r="97" ht="39" customHeight="1">
      <c r="A97" s="827"/>
      <c r="B97" s="827"/>
      <c r="C97" s="827"/>
      <c r="D97" s="827"/>
      <c r="E97" s="827"/>
      <c r="F97" s="827"/>
      <c r="G97" s="827"/>
      <c r="H97" s="827"/>
      <c r="I97" s="827"/>
      <c r="J97" s="827"/>
      <c r="K97" s="827"/>
      <c r="L97" s="827"/>
      <c r="M97" s="827"/>
      <c r="N97" s="827"/>
      <c r="O97" s="827"/>
      <c r="P97" s="827"/>
      <c r="Q97" s="827"/>
      <c r="R97" s="845"/>
      <c r="AR97" s="406"/>
      <c r="BB97" s="406"/>
      <c r="BM97" s="407"/>
    </row>
    <row r="98" ht="39" customHeight="1">
      <c r="A98" s="827" t="s">
        <v>698</v>
      </c>
      <c r="B98" s="827"/>
      <c r="C98" s="827"/>
      <c r="D98" s="827"/>
      <c r="E98" s="827"/>
      <c r="F98" s="827"/>
      <c r="G98" s="827"/>
      <c r="H98" s="827"/>
      <c r="I98" s="827"/>
      <c r="J98" s="827"/>
      <c r="K98" s="827"/>
      <c r="L98" s="827"/>
      <c r="M98" s="827"/>
      <c r="N98" s="827"/>
      <c r="O98" s="827"/>
      <c r="P98" s="827"/>
      <c r="Q98" s="827"/>
      <c r="R98" s="845"/>
      <c r="AR98" s="406"/>
      <c r="BN98" s="407"/>
    </row>
    <row r="99" ht="39" customHeight="1">
      <c r="A99" s="827"/>
      <c r="B99" s="827"/>
      <c r="C99" s="827"/>
      <c r="D99" s="827"/>
      <c r="E99" s="827"/>
      <c r="F99" s="827"/>
      <c r="G99" s="827"/>
      <c r="H99" s="827"/>
      <c r="I99" s="827"/>
      <c r="J99" s="827"/>
      <c r="K99" s="827"/>
      <c r="L99" s="827"/>
      <c r="M99" s="827"/>
      <c r="N99" s="827"/>
      <c r="O99" s="827"/>
      <c r="P99" s="827"/>
      <c r="Q99" s="827"/>
      <c r="R99" s="845"/>
      <c r="AR99" s="406"/>
      <c r="BN99" s="407"/>
    </row>
    <row r="100" ht="39" customHeight="1">
      <c r="A100" s="827"/>
      <c r="B100" s="827"/>
      <c r="C100" s="827"/>
      <c r="D100" s="827"/>
      <c r="E100" s="827"/>
      <c r="F100" s="827"/>
      <c r="G100" s="827"/>
      <c r="H100" s="827"/>
      <c r="I100" s="827"/>
      <c r="J100" s="827"/>
      <c r="K100" s="827"/>
      <c r="L100" s="827"/>
      <c r="M100" s="827"/>
      <c r="N100" s="827"/>
      <c r="O100" s="827"/>
      <c r="P100" s="827"/>
      <c r="Q100" s="827"/>
      <c r="R100" s="845"/>
      <c r="AR100" s="406"/>
      <c r="BN100" s="407"/>
    </row>
    <row r="101" ht="39" customHeight="1">
      <c r="A101" s="827"/>
      <c r="B101" s="827"/>
      <c r="C101" s="827"/>
      <c r="D101" s="827"/>
      <c r="E101" s="827"/>
      <c r="F101" s="827"/>
      <c r="G101" s="827"/>
      <c r="H101" s="827"/>
      <c r="I101" s="827"/>
      <c r="J101" s="827"/>
      <c r="K101" s="827"/>
      <c r="L101" s="827"/>
      <c r="M101" s="827"/>
      <c r="N101" s="827"/>
      <c r="O101" s="827"/>
      <c r="P101" s="827"/>
      <c r="Q101" s="827"/>
      <c r="R101" s="845"/>
      <c r="AR101" s="406"/>
      <c r="BN101" s="407"/>
    </row>
    <row r="102" ht="39" customHeight="1">
      <c r="A102" s="827"/>
      <c r="B102" s="827"/>
      <c r="C102" s="827"/>
      <c r="D102" s="827"/>
      <c r="E102" s="827"/>
      <c r="F102" s="827"/>
      <c r="G102" s="827"/>
      <c r="H102" s="827"/>
      <c r="I102" s="827"/>
      <c r="J102" s="827"/>
      <c r="K102" s="827"/>
      <c r="L102" s="827"/>
      <c r="M102" s="827"/>
      <c r="N102" s="827"/>
      <c r="O102" s="827"/>
      <c r="P102" s="827"/>
      <c r="Q102" s="827"/>
      <c r="R102" s="845"/>
      <c r="AR102" s="406"/>
      <c r="BN102" s="407"/>
    </row>
    <row r="103" ht="39" customHeight="1">
      <c r="A103" s="827"/>
      <c r="B103" s="827"/>
      <c r="C103" s="827"/>
      <c r="D103" s="827"/>
      <c r="E103" s="827"/>
      <c r="F103" s="827"/>
      <c r="G103" s="827"/>
      <c r="H103" s="827"/>
      <c r="I103" s="827"/>
      <c r="J103" s="827"/>
      <c r="K103" s="827"/>
      <c r="L103" s="827"/>
      <c r="M103" s="827"/>
      <c r="N103" s="827"/>
      <c r="O103" s="827"/>
      <c r="P103" s="827"/>
      <c r="Q103" s="827"/>
      <c r="R103" s="845"/>
      <c r="AR103" s="406"/>
      <c r="BN103" s="407"/>
    </row>
    <row r="104" ht="39" customHeight="1">
      <c r="A104" s="827"/>
      <c r="B104" s="827"/>
      <c r="C104" s="827"/>
      <c r="D104" s="827"/>
      <c r="E104" s="827"/>
      <c r="F104" s="827"/>
      <c r="G104" s="827"/>
      <c r="H104" s="827"/>
      <c r="I104" s="827"/>
      <c r="J104" s="827"/>
      <c r="K104" s="827"/>
      <c r="L104" s="827"/>
      <c r="M104" s="827"/>
      <c r="N104" s="827"/>
      <c r="O104" s="827"/>
      <c r="P104" s="827"/>
      <c r="Q104" s="827"/>
      <c r="R104" s="845"/>
      <c r="AR104" s="406"/>
      <c r="BN104" s="407"/>
    </row>
    <row r="105" ht="39" customHeight="1">
      <c r="A105" s="827"/>
      <c r="B105" s="827"/>
      <c r="C105" s="827"/>
      <c r="D105" s="827"/>
      <c r="E105" s="827"/>
      <c r="F105" s="827"/>
      <c r="G105" s="827"/>
      <c r="H105" s="827"/>
      <c r="I105" s="827"/>
      <c r="J105" s="827"/>
      <c r="K105" s="827"/>
      <c r="L105" s="827"/>
      <c r="M105" s="827"/>
      <c r="N105" s="827"/>
      <c r="O105" s="827"/>
      <c r="P105" s="827"/>
      <c r="Q105" s="827"/>
      <c r="R105" s="845"/>
      <c r="AR105" s="406"/>
      <c r="BN105" s="407"/>
    </row>
    <row r="106" ht="39" customHeight="1">
      <c r="A106" s="827"/>
      <c r="B106" s="827"/>
      <c r="C106" s="827"/>
      <c r="D106" s="827"/>
      <c r="E106" s="827"/>
      <c r="F106" s="827"/>
      <c r="G106" s="827"/>
      <c r="H106" s="827"/>
      <c r="I106" s="827"/>
      <c r="J106" s="827"/>
      <c r="K106" s="827"/>
      <c r="L106" s="827"/>
      <c r="M106" s="827"/>
      <c r="N106" s="827"/>
      <c r="O106" s="827"/>
      <c r="P106" s="827"/>
      <c r="Q106" s="827"/>
      <c r="R106" s="845"/>
      <c r="AR106" s="406"/>
      <c r="BN106" s="407"/>
    </row>
    <row r="107" ht="39" customHeight="1">
      <c r="A107" s="827"/>
      <c r="B107" s="827"/>
      <c r="C107" s="827"/>
      <c r="D107" s="827"/>
      <c r="E107" s="827"/>
      <c r="F107" s="827"/>
      <c r="G107" s="827"/>
      <c r="H107" s="827"/>
      <c r="I107" s="827"/>
      <c r="J107" s="827"/>
      <c r="K107" s="827"/>
      <c r="L107" s="827"/>
      <c r="M107" s="827"/>
      <c r="N107" s="827"/>
      <c r="O107" s="827"/>
      <c r="P107" s="827"/>
      <c r="Q107" s="827"/>
      <c r="R107" s="845"/>
      <c r="AR107" s="406"/>
      <c r="BN107" s="407"/>
    </row>
    <row r="108" ht="39" customHeight="1">
      <c r="A108" s="827"/>
      <c r="B108" s="827"/>
      <c r="C108" s="827"/>
      <c r="D108" s="827"/>
      <c r="E108" s="827"/>
      <c r="F108" s="827"/>
      <c r="G108" s="827"/>
      <c r="H108" s="827"/>
      <c r="I108" s="827"/>
      <c r="J108" s="827"/>
      <c r="K108" s="827"/>
      <c r="L108" s="827"/>
      <c r="M108" s="827"/>
      <c r="N108" s="827"/>
      <c r="O108" s="827"/>
      <c r="P108" s="827"/>
      <c r="Q108" s="827"/>
      <c r="R108" s="845"/>
      <c r="AR108" s="406"/>
      <c r="BN108" s="407"/>
    </row>
    <row r="109" ht="39" customHeight="1">
      <c r="A109" s="827"/>
      <c r="B109" s="827"/>
      <c r="C109" s="827"/>
      <c r="D109" s="827"/>
      <c r="E109" s="827"/>
      <c r="F109" s="827"/>
      <c r="G109" s="827"/>
      <c r="H109" s="827"/>
      <c r="I109" s="827"/>
      <c r="J109" s="827"/>
      <c r="K109" s="827"/>
      <c r="L109" s="827"/>
      <c r="M109" s="827"/>
      <c r="N109" s="827"/>
      <c r="O109" s="827"/>
      <c r="P109" s="827"/>
      <c r="Q109" s="827"/>
      <c r="R109" s="845"/>
      <c r="AR109" s="406"/>
      <c r="BN109" s="407"/>
    </row>
    <row r="110" ht="39" customHeight="1">
      <c r="A110" s="827"/>
      <c r="B110" s="827"/>
      <c r="C110" s="827"/>
      <c r="D110" s="827"/>
      <c r="E110" s="827"/>
      <c r="F110" s="827"/>
      <c r="G110" s="827"/>
      <c r="H110" s="827"/>
      <c r="I110" s="827"/>
      <c r="J110" s="827"/>
      <c r="K110" s="827"/>
      <c r="L110" s="827"/>
      <c r="M110" s="827"/>
      <c r="N110" s="827"/>
      <c r="O110" s="827"/>
      <c r="P110" s="827"/>
      <c r="Q110" s="827"/>
      <c r="R110" s="845"/>
      <c r="AR110" s="406"/>
      <c r="BN110" s="407"/>
    </row>
    <row r="111" ht="39" customHeight="1">
      <c r="A111" s="827"/>
      <c r="B111" s="827"/>
      <c r="C111" s="827"/>
      <c r="D111" s="827"/>
      <c r="E111" s="827"/>
      <c r="F111" s="827"/>
      <c r="G111" s="827"/>
      <c r="H111" s="827"/>
      <c r="I111" s="827"/>
      <c r="J111" s="827"/>
      <c r="K111" s="827"/>
      <c r="L111" s="827"/>
      <c r="M111" s="827"/>
      <c r="N111" s="827"/>
      <c r="O111" s="827"/>
      <c r="P111" s="827"/>
      <c r="Q111" s="827"/>
      <c r="R111" s="845"/>
      <c r="AR111" s="406"/>
      <c r="BN111" s="407"/>
    </row>
    <row r="112" ht="39" customHeight="1">
      <c r="A112" s="827"/>
      <c r="B112" s="827"/>
      <c r="C112" s="827"/>
      <c r="D112" s="827"/>
      <c r="E112" s="827"/>
      <c r="F112" s="827"/>
      <c r="G112" s="827"/>
      <c r="H112" s="827"/>
      <c r="I112" s="827"/>
      <c r="J112" s="827"/>
      <c r="K112" s="827"/>
      <c r="L112" s="827"/>
      <c r="M112" s="827"/>
      <c r="N112" s="827"/>
      <c r="O112" s="827"/>
      <c r="P112" s="827"/>
      <c r="Q112" s="827"/>
      <c r="R112" s="845"/>
      <c r="AR112" s="406"/>
      <c r="BN112" s="407"/>
    </row>
    <row r="113" ht="39" customHeight="1">
      <c r="A113" s="827"/>
      <c r="B113" s="827"/>
      <c r="C113" s="827"/>
      <c r="D113" s="827"/>
      <c r="E113" s="827"/>
      <c r="F113" s="827"/>
      <c r="G113" s="827"/>
      <c r="H113" s="827"/>
      <c r="I113" s="827"/>
      <c r="J113" s="827"/>
      <c r="K113" s="827"/>
      <c r="L113" s="827"/>
      <c r="M113" s="827"/>
      <c r="N113" s="827"/>
      <c r="O113" s="827"/>
      <c r="P113" s="827"/>
      <c r="Q113" s="827"/>
      <c r="R113" s="845"/>
      <c r="AR113" s="406"/>
      <c r="BN113" s="407"/>
    </row>
    <row r="114" ht="39" customHeight="1">
      <c r="A114" s="827"/>
      <c r="B114" s="827"/>
      <c r="C114" s="827"/>
      <c r="D114" s="827"/>
      <c r="E114" s="827"/>
      <c r="F114" s="827"/>
      <c r="G114" s="827"/>
      <c r="H114" s="827"/>
      <c r="I114" s="827"/>
      <c r="J114" s="827"/>
      <c r="K114" s="827"/>
      <c r="L114" s="827"/>
      <c r="M114" s="827"/>
      <c r="N114" s="827"/>
      <c r="O114" s="827"/>
      <c r="P114" s="827"/>
      <c r="Q114" s="827"/>
      <c r="R114" s="845"/>
      <c r="AR114" s="406"/>
      <c r="BN114" s="407"/>
    </row>
    <row r="115" ht="39" customHeight="1">
      <c r="A115" s="827"/>
      <c r="B115" s="827"/>
      <c r="C115" s="827"/>
      <c r="D115" s="827"/>
      <c r="E115" s="827"/>
      <c r="F115" s="827"/>
      <c r="G115" s="827"/>
      <c r="H115" s="827"/>
      <c r="I115" s="827"/>
      <c r="J115" s="827"/>
      <c r="K115" s="827"/>
      <c r="L115" s="827"/>
      <c r="M115" s="827"/>
      <c r="N115" s="827"/>
      <c r="O115" s="827"/>
      <c r="P115" s="827"/>
      <c r="Q115" s="827"/>
      <c r="R115" s="84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O50:AP50"/>
    <mergeCell ref="AO46:AP49"/>
    <mergeCell ref="AH48:AL48"/>
    <mergeCell ref="AM48:AN48"/>
    <mergeCell ref="AH49:AL49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J12:L14"/>
    <mergeCell ref="B15:P15"/>
    <mergeCell ref="I12:I14"/>
    <mergeCell ref="M12:M14"/>
    <mergeCell ref="A98:Q115"/>
    <mergeCell ref="A78:Q97"/>
    <mergeCell ref="AN28:AN29"/>
    <mergeCell ref="AN26:AN27"/>
    <mergeCell ref="AF26:AF27"/>
    <mergeCell ref="AF28:AF29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1128" t="s">
        <v>574</v>
      </c>
      <c r="B1" s="1129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0"/>
      <c r="B2" s="1131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0"/>
      <c r="B3" s="1131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0"/>
      <c r="B4" s="1131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0"/>
      <c r="B5" s="1131"/>
      <c r="H5" s="18"/>
      <c r="K5" s="1" t="s">
        <v>583</v>
      </c>
      <c r="L5" s="10" t="s">
        <v>584</v>
      </c>
    </row>
    <row r="6">
      <c r="A6" s="1130"/>
      <c r="B6" s="1131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2"/>
      <c r="B7" s="1133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4" t="s">
        <v>588</v>
      </c>
      <c r="B10" s="1135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6"/>
      <c r="B11" s="1137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6"/>
      <c r="B12" s="1137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6"/>
      <c r="B13" s="1137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6"/>
      <c r="B14" s="1137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6"/>
      <c r="B15" s="1137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8"/>
      <c r="B16" s="1139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0" t="s">
        <v>590</v>
      </c>
      <c r="B19" s="1141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2"/>
      <c r="B20" s="1143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2"/>
      <c r="B21" s="1143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2"/>
      <c r="B22" s="1143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2"/>
      <c r="B23" s="1143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2"/>
      <c r="B24" s="1143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4"/>
      <c r="B25" s="1145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5" t="s">
        <v>596</v>
      </c>
      <c r="D10" s="905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5" t="s">
        <v>596</v>
      </c>
      <c r="D11" s="905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6" t="s">
        <v>602</v>
      </c>
      <c r="I7" s="1146"/>
      <c r="J7" s="1146"/>
      <c r="K7" s="1147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6"/>
      <c r="I8" s="1146"/>
      <c r="J8" s="1146"/>
      <c r="K8" s="1147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6"/>
      <c r="I9" s="1146"/>
      <c r="J9" s="1146"/>
      <c r="K9" s="1147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6" t="s">
        <v>606</v>
      </c>
      <c r="I15" s="1146"/>
      <c r="J15" s="1146"/>
      <c r="K15" s="1147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6"/>
      <c r="I16" s="1146"/>
      <c r="J16" s="1146"/>
      <c r="K16" s="1147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6"/>
      <c r="I17" s="1146"/>
      <c r="J17" s="1146"/>
      <c r="K17" s="1147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abSelected="1" zoomScale="55" zoomScaleNormal="55" workbookViewId="0">
      <selection activeCell="K10" sqref="K10:K14"/>
    </sheetView>
  </sheetViews>
  <sheetFormatPr defaultRowHeight="27" customHeight="1"/>
  <cols>
    <col min="1" max="1" width="29.140625" customWidth="1"/>
    <col min="2" max="2" width="38.5703125" customWidth="1"/>
    <col min="3" max="3" width="30.85546875" customWidth="1"/>
    <col min="4" max="4" width="18.28515625" customWidth="1"/>
    <col min="5" max="5" width="12.7109375" customWidth="1"/>
    <col min="6" max="6" width="10.85546875" customWidth="1"/>
    <col min="7" max="7" width="15.28515625" customWidth="1"/>
    <col min="8" max="8" width="18.42578125" customWidth="1"/>
    <col min="9" max="9" width="17.42578125" customWidth="1"/>
    <col min="12" max="12" hidden="1" width="19" customWidth="1"/>
    <col min="16" max="16" width="60" customWidth="1"/>
    <col min="17" max="17" width="18.42578125" customWidth="1"/>
    <col min="18" max="18" width="16.140625" customWidth="1"/>
    <col min="19" max="19" width="20.85546875" customWidth="1"/>
    <col min="20" max="23" width="16.140625" customWidth="1"/>
  </cols>
  <sheetData>
    <row r="1" ht="27" customHeight="1">
      <c r="A1" s="887" t="s">
        <v>699</v>
      </c>
      <c r="B1" s="887"/>
      <c r="C1" s="598" t="s">
        <v>700</v>
      </c>
      <c r="D1" s="597" t="str">
        <f>تسعير!AJ28</f>
        <v>مصري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24107.384700000002</v>
      </c>
      <c r="O1" s="615"/>
      <c r="P1" s="0" t="s">
        <v>665</v>
      </c>
      <c r="Q1" s="603" t="str">
        <f>تسعير!AH28</f>
        <v>3*3</v>
      </c>
      <c r="R1" s="601" t="s">
        <v>703</v>
      </c>
      <c r="S1" s="600" t="str">
        <f>تسعير!AJ28</f>
        <v>مصري</v>
      </c>
      <c r="T1" s="602">
        <f>IF(Q1=3,V23,IF(Q1=2.5,W23,0))</f>
        <v>0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252</v>
      </c>
      <c r="H3" s="592">
        <f>Table1381[[#This Row],[السعر]]*Table1381[[#This Row],[الوزن]]</f>
        <v>2843.82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252</v>
      </c>
      <c r="H4" s="592">
        <f>Table1381[[#This Row],[السعر]]*Table1381[[#This Row],[الوزن]]</f>
        <v>1179.3600000000001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673.98</v>
      </c>
      <c r="V4" s="605">
        <f ref="V4:V21" t="shared" si="0">U4*S4</f>
        <v>673.98</v>
      </c>
      <c r="W4" s="605">
        <f>Table1102[[#This Row],[متطلبات انتاج الشمسيه 2.5]]*Table1102[[#This Row],[سعر]]</f>
        <v>336.99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252</v>
      </c>
      <c r="H5" s="589">
        <f>Table1381[[#This Row],[السعر]]*Table1381[[#This Row],[الوزن]]</f>
        <v>231.83999999999998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1237.98</v>
      </c>
      <c r="V5" s="605">
        <f t="shared" si="0"/>
        <v>2475.96</v>
      </c>
      <c r="W5" s="605">
        <f>Table1102[[#This Row],[متطلبات انتاج الشمسيه 2.5]]*Table1102[[#This Row],[سعر]]</f>
        <v>2475.96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252</v>
      </c>
      <c r="H6" s="592">
        <f>Table1381[[#This Row],[السعر]]*Table1381[[#This Row],[الوزن]]</f>
        <v>2730.672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955.98</v>
      </c>
      <c r="V6" s="605">
        <f t="shared" si="0"/>
        <v>955.98</v>
      </c>
      <c r="W6" s="605">
        <f>Table1102[[#This Row],[متطلبات انتاج الشمسيه 2.5]]*Table1102[[#This Row],[سعر]]</f>
        <v>955.98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J10" s="0" t="s">
        <v>737</v>
      </c>
      <c r="K10" s="1150" t="s">
        <v>665</v>
      </c>
      <c r="O10" s="590">
        <v>7</v>
      </c>
      <c r="P10" s="607" t="s">
        <v>738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739</v>
      </c>
      <c r="B11" s="591" t="s">
        <v>740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J11" s="0" t="s">
        <v>741</v>
      </c>
      <c r="K11" s="1150" t="s">
        <v>699</v>
      </c>
      <c r="O11" s="590">
        <v>8</v>
      </c>
      <c r="P11" s="607" t="s">
        <v>742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739</v>
      </c>
      <c r="B12" s="591" t="s">
        <v>743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J12" s="0" t="s">
        <v>744</v>
      </c>
      <c r="K12" s="1151" t="s">
        <v>745</v>
      </c>
      <c r="O12" s="590">
        <v>9</v>
      </c>
      <c r="P12" s="607" t="s">
        <v>746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747</v>
      </c>
      <c r="B13" s="591" t="s">
        <v>748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J13" s="0" t="s">
        <v>749</v>
      </c>
      <c r="K13" s="1151" t="s">
        <v>750</v>
      </c>
      <c r="O13" s="590">
        <v>10</v>
      </c>
      <c r="P13" s="607" t="s">
        <v>751</v>
      </c>
      <c r="Q13" s="607" t="s">
        <v>28</v>
      </c>
      <c r="R13" s="590">
        <v>20</v>
      </c>
      <c r="S13" s="590">
        <v>20</v>
      </c>
      <c r="T13" s="605" t="s">
        <v>752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747</v>
      </c>
      <c r="B14" s="591" t="s">
        <v>753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J14" s="0" t="s">
        <v>754</v>
      </c>
      <c r="K14" s="1151" t="s">
        <v>755</v>
      </c>
      <c r="O14" s="590">
        <v>11</v>
      </c>
      <c r="P14" s="607" t="s">
        <v>756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747</v>
      </c>
      <c r="B15" s="591" t="s">
        <v>757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758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759</v>
      </c>
      <c r="B16" s="591" t="s">
        <v>760</v>
      </c>
      <c r="C16" s="590" t="s">
        <v>761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762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763</v>
      </c>
      <c r="B17" s="591" t="s">
        <v>764</v>
      </c>
      <c r="C17" s="590" t="s">
        <v>761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765</v>
      </c>
      <c r="Q17" s="607" t="s">
        <v>28</v>
      </c>
      <c r="R17" s="590">
        <v>1</v>
      </c>
      <c r="S17" s="590">
        <v>1</v>
      </c>
      <c r="T17" s="605" t="s">
        <v>752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766</v>
      </c>
      <c r="C18" s="590" t="s">
        <v>761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767</v>
      </c>
      <c r="Q18" s="607" t="s">
        <v>28</v>
      </c>
      <c r="R18" s="590">
        <v>1</v>
      </c>
      <c r="S18" s="590">
        <v>5</v>
      </c>
      <c r="T18" s="605" t="s">
        <v>768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769</v>
      </c>
      <c r="B19" s="591" t="s">
        <v>770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771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759</v>
      </c>
      <c r="B20" s="591" t="s">
        <v>772</v>
      </c>
      <c r="C20" s="590" t="s">
        <v>761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773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774</v>
      </c>
      <c r="B21" s="591" t="s">
        <v>775</v>
      </c>
      <c r="C21" s="590" t="s">
        <v>776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777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17857.322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11399.92</v>
      </c>
      <c r="W22" s="572">
        <f>SUBTOTAL(109,Table1102[2.5])</f>
        <v>10582.93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15389.892000000002</v>
      </c>
      <c r="W23" s="616">
        <f>IF(تسعير!AI17="قطاعي",Table1102[[#Totals],[2.5]]*1.35,IF(تسعير!AI17="جملة",Table1102[[#Totals],[2.5]]*1.25,IF(تسعير!AI17="نصف جملة",Table1102[[#Totals],[2.5]]*1.3,0)))</f>
        <v>14286.955500000002</v>
      </c>
    </row>
    <row r="24" ht="27" customHeight="1">
      <c r="A24" s="618" t="s">
        <v>778</v>
      </c>
      <c r="B24" s="813" t="str">
        <f>تسعير!AN28</f>
        <v>متحركة</v>
      </c>
      <c r="C24" s="618"/>
      <c r="D24" s="619">
        <f>IF(تسعير!AG28="جملة",Table17118[[#Totals],[Column4]]*1.25,Table17118[[#Totals],[Column4]]*1.3)</f>
        <v>7332.240578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779</v>
      </c>
      <c r="Q25" s="618" t="str">
        <f>تسعير!AH28</f>
        <v>3*3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7081.152</v>
      </c>
    </row>
    <row r="26" ht="27" customHeight="1">
      <c r="A26" s="0" t="s">
        <v>780</v>
      </c>
      <c r="B26" s="0">
        <v>2.67</v>
      </c>
      <c r="C26" s="621">
        <f>IF(تسعير!AI28='شماسي كانتليفر'!F33,6.3*0.23*((Sheet2!B14/1000)+(Sheet2!B15/1000)),6.3*0.23*((Sheet2!B14/1000)+Sheet2!B41))</f>
        <v>408.618</v>
      </c>
      <c r="D26" s="622">
        <f>Table17118[[#This Row],[القيمة]]*Table17118[[#This Row],[العدد]]</f>
        <v>1091.01006</v>
      </c>
      <c r="F26" s="620" t="s">
        <v>781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782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1318.35</v>
      </c>
      <c r="D27" s="622">
        <f>Table17118[[#This Row],[القيمة]]*Table17118[[#This Row],[العدد]]</f>
        <v>659.175</v>
      </c>
      <c r="F27" s="620" t="s">
        <v>224</v>
      </c>
      <c r="H27" s="620"/>
      <c r="P27" s="0" t="s">
        <v>783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1195.248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784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1498.125</v>
      </c>
      <c r="D28" s="622">
        <f>Table17118[[#This Row],[القيمة]]*Table17118[[#This Row],[العدد]]</f>
        <v>0</v>
      </c>
      <c r="F28" s="620" t="s">
        <v>216</v>
      </c>
      <c r="P28" s="0" t="s">
        <v>785</v>
      </c>
      <c r="Q28" s="0">
        <v>1</v>
      </c>
      <c r="R28" s="621">
        <f>IF(تسعير!AI28='شماسي كانتليفر'!U31,1.1*3.2*((Sheet2!$B$14/1000)+(Sheet2!$B$15/1000)),1.1*3.2*(Sheet2!$B$14/1000)+Sheet2!$B$41)</f>
        <v>917.04000000000008</v>
      </c>
      <c r="S28" s="622">
        <f>Table1718[[#This Row],[القيمة]]*Table1718[[#This Row],[العدد]]</f>
        <v>917.04000000000008</v>
      </c>
      <c r="U28" s="620" t="s">
        <v>216</v>
      </c>
    </row>
    <row r="29" ht="27" customHeight="1">
      <c r="A29" s="0" t="s">
        <v>786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787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788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789</v>
      </c>
      <c r="P30" s="0" t="s">
        <v>790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791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792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793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2" t="s">
        <v>219</v>
      </c>
    </row>
    <row r="33" ht="27" customHeight="1">
      <c r="A33" s="0" t="s">
        <v>794</v>
      </c>
      <c r="D33" s="621">
        <v>400</v>
      </c>
      <c r="F33" s="620" t="s">
        <v>230</v>
      </c>
      <c r="P33" s="0" t="s">
        <v>795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2" t="s">
        <v>215</v>
      </c>
    </row>
    <row r="34" ht="27" customHeight="1">
      <c r="A34" s="0" t="s">
        <v>54</v>
      </c>
      <c r="D34" s="621">
        <f>SUBTOTAL(109,Table17118[Column4])</f>
        <v>5640.18506</v>
      </c>
      <c r="P34" s="624" t="s">
        <v>796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797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798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799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794</v>
      </c>
      <c r="S38" s="621">
        <v>1000</v>
      </c>
    </row>
    <row r="39" ht="27" customHeight="1">
      <c r="P39" s="0" t="s">
        <v>54</v>
      </c>
      <c r="S39" s="621">
        <f>SUBTOTAL(109,Table1718[Column4])</f>
        <v>5447.04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R5" zoomScale="130" zoomScaleNormal="90" zoomScaleSheetLayoutView="130" zoomScalePageLayoutView="90" workbookViewId="0">
      <selection activeCell="Y5" sqref="Y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888" t="s">
        <v>0</v>
      </c>
      <c r="B1" s="889"/>
      <c r="C1" s="890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1"/>
      <c r="B2" s="892"/>
      <c r="C2" s="893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5" t="s">
        <v>17</v>
      </c>
      <c r="B3" s="896"/>
      <c r="C3" s="397"/>
      <c r="F3" s="234" t="s">
        <v>18</v>
      </c>
      <c r="G3" s="897">
        <f>NOW()</f>
        <v>46139.558078726855</v>
      </c>
      <c r="H3" s="898"/>
      <c r="I3" s="898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4" t="s">
        <v>20</v>
      </c>
      <c r="E4" s="894"/>
      <c r="F4" s="894"/>
      <c r="G4" s="894"/>
      <c r="H4" s="894"/>
      <c r="I4" s="894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0.014450847710637892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0.03179186496340336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0.019041116983428752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0.065283829657470011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94" t="s">
        <v>58</v>
      </c>
      <c r="E10" s="894"/>
      <c r="F10" s="894"/>
      <c r="G10" s="894"/>
      <c r="H10" s="894"/>
      <c r="I10" s="894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94" t="s">
        <v>72</v>
      </c>
      <c r="E15" s="894"/>
      <c r="F15" s="894"/>
      <c r="G15" s="894"/>
      <c r="H15" s="894"/>
      <c r="I15" s="894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0.0060447990423583339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0.0037779994014739589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0.0033246394732970837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0.00098227984438322932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0.0015111997605895835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0.00045335992817687506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0.021156796648254168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0.00022667996408843753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0.018134397127075003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0.0034001994613265629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0.059012350651023233</v>
      </c>
    </row>
    <row r="28" ht="21" customHeight="1" s="216" customFormat="1">
      <c r="C28" s="217"/>
      <c r="D28" s="894" t="s">
        <v>95</v>
      </c>
      <c r="E28" s="894"/>
      <c r="F28" s="894"/>
      <c r="G28" s="894"/>
      <c r="H28" s="894"/>
      <c r="I28" s="894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4" t="s">
        <v>99</v>
      </c>
      <c r="E33" s="894"/>
      <c r="F33" s="894"/>
      <c r="G33" s="894"/>
      <c r="H33" s="894"/>
      <c r="I33" s="894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0.00056669991022109385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0.00056669991022109385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0.00094449985036848972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0.0056669991022109383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0.0015111997605895835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0.0059440523916523625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0.0023072782059001679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0.014010980637466282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0.032480000568671834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0.063998410337301845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4" t="s">
        <v>119</v>
      </c>
      <c r="E51" s="894"/>
      <c r="F51" s="894"/>
      <c r="G51" s="894"/>
      <c r="H51" s="894"/>
      <c r="I51" s="894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0.0099965864163000951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0.015111997605895836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0.025108584022195929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4" t="s">
        <v>123</v>
      </c>
      <c r="E56" s="894"/>
      <c r="F56" s="894"/>
      <c r="G56" s="894"/>
      <c r="H56" s="894"/>
      <c r="I56" s="894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2819.4486466796357</v>
      </c>
      <c r="I58" s="247"/>
      <c r="J58" s="403">
        <f>IF((Table1611[[#This Row],[عدد]]&gt;0),'Cutting Ro-1'!O8,0)</f>
        <v>45111.178346874171</v>
      </c>
      <c r="K58" s="240">
        <f>B58*Table1611[[#This Row],[سعر البرجولا كاملة]]</f>
        <v>45111.178346874171</v>
      </c>
      <c r="L58" s="241">
        <f>(K58)/$G$83</f>
        <v>0.34086000958855123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2819.4486466796357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45111.178346874171</v>
      </c>
      <c r="K60" s="240">
        <f>B60*Table1611[[#This Row],[سعر البرجولا كاملة]]</f>
        <v>4511.1178346874176</v>
      </c>
      <c r="L60" s="241">
        <f t="shared" si="9"/>
        <v>0.034086000958855132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49622.296181561585</v>
      </c>
      <c r="L61" s="574">
        <f>Table1611[[#Totals],[اجمالي]]/$G$83</f>
        <v>0.37494601054740634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.75">
      <c r="A65" s="216"/>
      <c r="B65" s="216"/>
      <c r="C65" s="217"/>
      <c r="D65" s="894" t="s">
        <v>132</v>
      </c>
      <c r="E65" s="894"/>
      <c r="F65" s="894"/>
      <c r="G65" s="894"/>
      <c r="H65" s="894"/>
      <c r="I65" s="894"/>
      <c r="J65" s="216"/>
      <c r="K65" s="216"/>
      <c r="L65" s="216"/>
    </row>
    <row r="66" ht="18.75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.75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0.0084627186593016681</v>
      </c>
    </row>
    <row r="68" ht="18.75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0.0063470389944762506</v>
      </c>
    </row>
    <row r="69" ht="18.75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0.012694077988952501</v>
      </c>
    </row>
    <row r="70" ht="18.75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0.0063470389944762506</v>
      </c>
    </row>
    <row r="71" ht="18.75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0.045335992817687507</v>
      </c>
    </row>
    <row r="72" ht="18.75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0.034001994613265626</v>
      </c>
    </row>
    <row r="73" ht="18.75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.75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0.030223995211791671</v>
      </c>
    </row>
    <row r="75" ht="18.75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0.066492789465941671</v>
      </c>
    </row>
    <row r="76" ht="18.75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0.042313593296508335</v>
      </c>
    </row>
    <row r="77" ht="18.75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0.052891991620635424</v>
      </c>
    </row>
    <row r="78" ht="18.75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0.090671985635375013</v>
      </c>
    </row>
    <row r="79" ht="18.75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0.015867597486190627</v>
      </c>
    </row>
    <row r="80" ht="18.75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10450</v>
      </c>
      <c r="I80" s="570"/>
      <c r="J80" s="242"/>
      <c r="K80" s="573">
        <f>SUBTOTAL(109,Table1612[اجمالي])</f>
        <v>54480</v>
      </c>
      <c r="L80" s="574">
        <f>Table1612[[#Totals],[اجمالي]]/$G$83</f>
        <v>0.41165081478460253</v>
      </c>
    </row>
    <row r="81" ht="18.75">
      <c r="A81" s="211"/>
      <c r="B81" s="212"/>
      <c r="H81" s="211"/>
      <c r="I81" s="211"/>
      <c r="J81" s="243"/>
      <c r="K81" s="282"/>
      <c r="L81" s="283"/>
    </row>
    <row r="82" ht="18.75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.75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132345.17713394255</v>
      </c>
      <c r="H83" s="211"/>
      <c r="I83" s="242"/>
      <c r="J83" s="243"/>
      <c r="K83" s="282"/>
      <c r="L83" s="283"/>
    </row>
    <row r="84" ht="18.75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172048.73027412532</v>
      </c>
      <c r="H84" s="211"/>
      <c r="I84" s="242"/>
      <c r="J84" s="247"/>
      <c r="K84" s="282"/>
      <c r="L84" s="283"/>
    </row>
    <row r="85" ht="18.75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888" t="s">
        <v>0</v>
      </c>
      <c r="B1" s="889"/>
      <c r="C1" s="890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1"/>
      <c r="B2" s="892"/>
      <c r="C2" s="893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5" t="s">
        <v>17</v>
      </c>
      <c r="B3" s="896"/>
      <c r="C3" s="397"/>
      <c r="F3" s="234" t="s">
        <v>18</v>
      </c>
      <c r="G3" s="897">
        <f>NOW()</f>
        <v>46139.558078912036</v>
      </c>
      <c r="H3" s="898"/>
      <c r="I3" s="898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4" t="s">
        <v>20</v>
      </c>
      <c r="E4" s="894"/>
      <c r="F4" s="894"/>
      <c r="G4" s="894"/>
      <c r="H4" s="894"/>
      <c r="I4" s="894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0.0049853055410638237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0.041128770713776547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0.016568809592359179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0.016422182958798479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0.079105068805998033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4" t="s">
        <v>58</v>
      </c>
      <c r="E11" s="894"/>
      <c r="F11" s="894"/>
      <c r="G11" s="894"/>
      <c r="H11" s="894"/>
      <c r="I11" s="894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4" t="s">
        <v>72</v>
      </c>
      <c r="E16" s="894"/>
      <c r="F16" s="894"/>
      <c r="G16" s="894"/>
      <c r="H16" s="894"/>
      <c r="I16" s="894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0.0026066957077457904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0.0032583696346822379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0.0021505239588902772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0.00084717610501738188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0.0031280348492949486</v>
      </c>
    </row>
    <row r="23" ht="18.75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0.00039100435616186858</v>
      </c>
    </row>
    <row r="24" ht="18.75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0.018246869954220531</v>
      </c>
    </row>
    <row r="25" ht="18.75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0.00013033478538728951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0.0029325326712140143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0.033691542022614339</v>
      </c>
    </row>
    <row r="29" ht="18.75" s="216" customFormat="1">
      <c r="C29" s="217"/>
      <c r="D29" s="894" t="s">
        <v>95</v>
      </c>
      <c r="E29" s="894"/>
      <c r="F29" s="894"/>
      <c r="G29" s="894"/>
      <c r="H29" s="894"/>
      <c r="I29" s="894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0.016422182958798479</v>
      </c>
    </row>
    <row r="32" ht="18.75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0.0070380784109136344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0.023460261369712115</v>
      </c>
    </row>
    <row r="34" ht="18.75" s="216" customFormat="1">
      <c r="C34" s="217"/>
      <c r="D34" s="894" t="s">
        <v>99</v>
      </c>
      <c r="E34" s="894"/>
      <c r="F34" s="894"/>
      <c r="G34" s="894"/>
      <c r="H34" s="894"/>
      <c r="I34" s="894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0.0078200871232373716</v>
      </c>
    </row>
    <row r="37" ht="18.75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0.0021668158070636883</v>
      </c>
    </row>
    <row r="38" ht="18.75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0.017204191671122217</v>
      </c>
    </row>
    <row r="39" ht="18.75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0.029911833246382944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0.00048875544520233572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0.00048875544520233572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0.0016291848173411189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0.0048875544520233568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0.0013033478538728952</v>
      </c>
    </row>
    <row r="45" ht="18.75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0.065900525861448261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894" t="s">
        <v>119</v>
      </c>
      <c r="E52" s="894"/>
      <c r="F52" s="894"/>
      <c r="G52" s="894"/>
      <c r="H52" s="894"/>
      <c r="I52" s="894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0.0086216460533692016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0.15640174246474742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0.16502338851811663</v>
      </c>
    </row>
    <row r="57" ht="18.75" s="216" customFormat="1">
      <c r="C57" s="217"/>
      <c r="D57" s="894" t="s">
        <v>123</v>
      </c>
      <c r="E57" s="894"/>
      <c r="F57" s="894"/>
      <c r="G57" s="894"/>
      <c r="H57" s="894"/>
      <c r="I57" s="894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2907.2003302590206</v>
      </c>
      <c r="I59" s="247"/>
      <c r="J59" s="403">
        <f>IF((Table161128[[#This Row],[عدد]]&gt;0),'Cutting Ro-2'!O8,0)</f>
        <v>46515.205284144329</v>
      </c>
      <c r="K59" s="240">
        <f>Table161128[[#This Row],[عدد]]*Table161128[[#This Row],[سعر البرجولا كاملة]]</f>
        <v>46515.205284144329</v>
      </c>
      <c r="L59" s="241">
        <f>(K59)/$G$85</f>
        <v>0.30312746489773335</v>
      </c>
    </row>
    <row r="60" ht="19.5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2907.2003302590206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0.33344021138750668</v>
      </c>
    </row>
    <row r="61" ht="18.75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46515.205284144329</v>
      </c>
      <c r="K61" s="240">
        <f>Table161128[[#This Row],[عدد]]*Table161128[[#This Row],[سعر البرجولا كاملة]]</f>
        <v>4651.5205284144331</v>
      </c>
      <c r="L61" s="241">
        <f>(K61)/$G$85</f>
        <v>0.030312746489773335</v>
      </c>
    </row>
    <row r="62" ht="18.75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51166.725812558761</v>
      </c>
      <c r="L62" s="574">
        <f>Table161128[[#Totals],[اجمالي]]/$G$85</f>
        <v>0.33344021138750668</v>
      </c>
    </row>
    <row r="63" ht="18.75" s="216" customFormat="1">
      <c r="C63" s="217"/>
      <c r="D63" s="894" t="s">
        <v>162</v>
      </c>
      <c r="E63" s="894"/>
      <c r="F63" s="894"/>
      <c r="G63" s="894"/>
      <c r="H63" s="894"/>
      <c r="I63" s="894"/>
    </row>
    <row r="64" ht="18.75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.75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.75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.75" s="216" customFormat="1">
      <c r="C67" s="217"/>
      <c r="D67" s="894" t="s">
        <v>132</v>
      </c>
      <c r="E67" s="894"/>
      <c r="F67" s="894"/>
      <c r="G67" s="894"/>
      <c r="H67" s="894"/>
      <c r="I67" s="894"/>
    </row>
    <row r="68" ht="18.75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.75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0.01094812197253232</v>
      </c>
    </row>
    <row r="70" ht="18.75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0.00547406098626616</v>
      </c>
    </row>
    <row r="71" ht="18.75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0.01094812197253232</v>
      </c>
    </row>
    <row r="72" ht="18.75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0.00547406098626616</v>
      </c>
    </row>
    <row r="73" ht="18.75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0.026066957077457903</v>
      </c>
    </row>
    <row r="74" ht="18.75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0.029325326712140141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0.026066957077457903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0.057347305570407389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0.031280348492949486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0.04561717488555133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0.039100435616186854</v>
      </c>
      <c r="N80" s="207"/>
      <c r="O80" s="207"/>
      <c r="P80" s="207"/>
      <c r="Q80" s="207"/>
      <c r="R80" s="207"/>
      <c r="S80" s="207"/>
      <c r="T80" s="207"/>
    </row>
    <row r="81" ht="18.75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0.011730130684856057</v>
      </c>
      <c r="N81" s="207"/>
      <c r="O81" s="207"/>
      <c r="P81" s="207"/>
      <c r="Q81" s="207"/>
      <c r="R81" s="207"/>
      <c r="S81" s="207"/>
      <c r="T81" s="207"/>
    </row>
    <row r="82" ht="18.75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0.29937900203460405</v>
      </c>
    </row>
    <row r="83" ht="18.75">
      <c r="A83" s="216"/>
      <c r="B83" s="216"/>
      <c r="C83" s="217"/>
      <c r="D83" s="899"/>
      <c r="E83" s="899"/>
      <c r="F83" s="899"/>
      <c r="G83" s="899"/>
      <c r="H83" s="899"/>
      <c r="I83" s="899"/>
      <c r="J83" s="216"/>
      <c r="K83" s="216"/>
      <c r="L83" s="216"/>
    </row>
    <row r="84" ht="18.75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.75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153450.97581255875</v>
      </c>
      <c r="H85" s="211"/>
      <c r="I85" s="211"/>
      <c r="J85" s="243"/>
      <c r="K85" s="282"/>
      <c r="L85" s="283"/>
    </row>
    <row r="86" ht="18.75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199486.2685563264</v>
      </c>
      <c r="H86" s="211"/>
      <c r="I86" s="211"/>
      <c r="J86" s="243"/>
      <c r="K86" s="282"/>
      <c r="L86" s="283"/>
    </row>
    <row r="87" ht="18.75">
      <c r="A87" s="211"/>
      <c r="B87" s="219"/>
      <c r="H87" s="211"/>
      <c r="I87" s="211"/>
      <c r="J87" s="243"/>
      <c r="K87" s="282"/>
      <c r="L87" s="283"/>
    </row>
    <row r="88" ht="18.75">
      <c r="A88" s="211"/>
      <c r="B88" s="212"/>
      <c r="H88" s="211"/>
      <c r="I88" s="242"/>
      <c r="J88" s="243"/>
      <c r="K88" s="282"/>
      <c r="L88" s="283"/>
    </row>
    <row r="89" ht="18.75">
      <c r="A89" s="211"/>
      <c r="B89" s="219"/>
      <c r="H89" s="211"/>
      <c r="I89" s="242"/>
      <c r="J89" s="247"/>
      <c r="K89" s="282"/>
      <c r="L89" s="283"/>
    </row>
    <row r="90" ht="18.75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8" t="s">
        <v>0</v>
      </c>
      <c r="M1" s="889"/>
      <c r="N1" s="890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1"/>
      <c r="M2" s="892"/>
      <c r="N2" s="893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5" t="s">
        <v>17</v>
      </c>
      <c r="M3" s="896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7">
        <f>NOW()</f>
        <v>46139.558078969909</v>
      </c>
      <c r="S3" s="898"/>
      <c r="T3" s="898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4" t="s">
        <v>20</v>
      </c>
      <c r="P4" s="894"/>
      <c r="Q4" s="894"/>
      <c r="R4" s="894"/>
      <c r="S4" s="894"/>
      <c r="T4" s="894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0.012801019173082051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0.035767553571846904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0.048568572744928956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4" t="s">
        <v>72</v>
      </c>
      <c r="P9" s="894"/>
      <c r="Q9" s="894"/>
      <c r="R9" s="894"/>
      <c r="S9" s="894"/>
      <c r="T9" s="894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0.0044622289056495167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0.002454225898107234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0.0014502243943360928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0.0022311144528247583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0.0267733734338971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0.0373711670848147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4" t="s">
        <v>95</v>
      </c>
      <c r="P19" s="894"/>
      <c r="Q19" s="894"/>
      <c r="R19" s="894"/>
      <c r="S19" s="894"/>
      <c r="T19" s="894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894" t="s">
        <v>99</v>
      </c>
      <c r="P24" s="894"/>
      <c r="Q24" s="894"/>
      <c r="R24" s="894"/>
      <c r="S24" s="894"/>
      <c r="T24" s="894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0.00050200075188557057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0.00050200075188557057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0.00027888930660309479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0.0016733358396185687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0.00089244578112990323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0.0022311144528247583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0.023845035714564602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0.020080030075422823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0.024263369674469244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0.0105977936509176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0.0105977936509176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0.095463809650239345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894" t="s">
        <v>162</v>
      </c>
      <c r="P47" s="894"/>
      <c r="Q47" s="894"/>
      <c r="R47" s="894"/>
      <c r="S47" s="894"/>
      <c r="T47" s="894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0.37756592106540177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0.037756592106540178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0.41532251317194196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894" t="s">
        <v>132</v>
      </c>
      <c r="P53" s="894"/>
      <c r="Q53" s="894"/>
      <c r="R53" s="894"/>
      <c r="S53" s="894"/>
      <c r="T53" s="894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0.0062471204679093225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0.0062471204679093225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0.0093706807018639846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0.0093706807018639846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0.044622289056495165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0.03346671679237137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0.022311144528247583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0.098169035924289355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0.031235602339546614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0.13386686716948548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0.0083666791980928426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0.40327393734807504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899"/>
      <c r="P69" s="899"/>
      <c r="Q69" s="899"/>
      <c r="R69" s="899"/>
      <c r="S69" s="899"/>
      <c r="T69" s="89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89641.3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116533.69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8" t="s">
        <v>0</v>
      </c>
      <c r="M1" s="889"/>
      <c r="N1" s="890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1"/>
      <c r="M2" s="892"/>
      <c r="N2" s="893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5" t="s">
        <v>17</v>
      </c>
      <c r="M3" s="896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7">
        <f>NOW()</f>
        <v>46139.558078981485</v>
      </c>
      <c r="S3" s="898"/>
      <c r="T3" s="898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4" t="s">
        <v>20</v>
      </c>
      <c r="P4" s="894"/>
      <c r="Q4" s="894"/>
      <c r="R4" s="894"/>
      <c r="S4" s="894"/>
      <c r="T4" s="894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4" t="s">
        <v>72</v>
      </c>
      <c r="P9" s="894"/>
      <c r="Q9" s="894"/>
      <c r="R9" s="894"/>
      <c r="S9" s="894"/>
      <c r="T9" s="894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4" t="s">
        <v>95</v>
      </c>
      <c r="P19" s="894"/>
      <c r="Q19" s="894"/>
      <c r="R19" s="894"/>
      <c r="S19" s="894"/>
      <c r="T19" s="894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894" t="s">
        <v>99</v>
      </c>
      <c r="P24" s="894"/>
      <c r="Q24" s="894"/>
      <c r="R24" s="894"/>
      <c r="S24" s="894"/>
      <c r="T24" s="894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894" t="s">
        <v>162</v>
      </c>
      <c r="P47" s="894"/>
      <c r="Q47" s="894"/>
      <c r="R47" s="894"/>
      <c r="S47" s="894"/>
      <c r="T47" s="894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894" t="s">
        <v>132</v>
      </c>
      <c r="P53" s="894"/>
      <c r="Q53" s="894"/>
      <c r="R53" s="894"/>
      <c r="S53" s="894"/>
      <c r="T53" s="894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899"/>
      <c r="P69" s="899"/>
      <c r="Q69" s="899"/>
      <c r="R69" s="899"/>
      <c r="S69" s="899"/>
      <c r="T69" s="899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55" zoomScaleNormal="55" workbookViewId="0"/>
  </sheetViews>
  <sheetFormatPr defaultColWidth="9.140625" defaultRowHeight="15"/>
  <cols>
    <col min="1" max="1" width="11.28515625" customWidth="1" style="313"/>
    <col min="2" max="2" width="11.5703125" customWidth="1" style="313"/>
    <col min="3" max="3" width="38" customWidth="1" style="313"/>
    <col min="4" max="4" width="11.5703125" customWidth="1" style="313"/>
    <col min="5" max="5" width="11.85546875" customWidth="1" style="314"/>
    <col min="6" max="6" width="14.140625" customWidth="1" style="313"/>
    <col min="7" max="7" width="13" customWidth="1" style="313"/>
    <col min="8" max="8" width="27.28515625" customWidth="1" style="313"/>
    <col min="9" max="9" width="8.85546875" customWidth="1" style="313"/>
    <col min="10" max="10" width="37.5703125" customWidth="1" style="313"/>
    <col min="11" max="11" width="8.85546875" customWidth="1" style="31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.75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6.25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1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17</v>
      </c>
      <c r="AF4" s="380"/>
      <c r="AG4" s="357"/>
    </row>
    <row r="5" ht="26.25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7" t="s">
        <v>219</v>
      </c>
      <c r="T5" s="808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.75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3807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4794</v>
      </c>
      <c r="AF6" s="380"/>
      <c r="AG6" s="357"/>
    </row>
    <row r="7" ht="18.75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750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.75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6.5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10</v>
      </c>
      <c r="AF8" s="380"/>
      <c r="AG8" s="357"/>
    </row>
    <row r="9" ht="18.75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4875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>
        <f>AE8*AE7</f>
        <v>2000</v>
      </c>
      <c r="AF9" s="380"/>
      <c r="AG9" s="357"/>
    </row>
    <row r="10" ht="18.75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252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.75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252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.75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.75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18478.2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.75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.75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.75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.75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.75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0">
        <f>N6+N9+N10+N11</f>
        <v>14214</v>
      </c>
      <c r="O18" s="900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.75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0"/>
      <c r="O19" s="900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.75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0"/>
      <c r="O20" s="900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.75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8"/>
      <c r="W21" s="809" t="s">
        <v>269</v>
      </c>
      <c r="X21" s="313"/>
      <c r="Y21" s="320"/>
      <c r="Z21" s="320"/>
      <c r="AA21" s="320"/>
      <c r="AB21" s="320"/>
      <c r="AG21" s="357"/>
    </row>
    <row r="22" ht="18.75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0">
        <f>N18*1.8</f>
        <v>25585.2</v>
      </c>
      <c r="O22" s="900"/>
      <c r="P22" s="357"/>
      <c r="R22" s="332"/>
      <c r="AG22" s="357"/>
    </row>
    <row r="23" ht="18.75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0"/>
      <c r="O23" s="900"/>
      <c r="P23" s="357"/>
      <c r="R23" s="332"/>
      <c r="AG23" s="357"/>
    </row>
    <row r="24">
      <c r="A24" s="318"/>
      <c r="N24" s="900"/>
      <c r="O24" s="900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6" t="s">
        <v>274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275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94" t="s">
        <v>132</v>
      </c>
      <c r="M29" s="894"/>
      <c r="N29" s="894"/>
      <c r="O29" s="894"/>
      <c r="P29" s="894"/>
      <c r="Q29" s="894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276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6" t="s">
        <v>278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279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5.9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3009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5.9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1298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5.9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1298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10450</v>
      </c>
      <c r="P44" s="570"/>
      <c r="Q44" s="242"/>
      <c r="R44" s="573">
        <f>SUBTOTAL(109,Table161243[اجمالي])</f>
        <v>40160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248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4960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285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288</v>
      </c>
      <c r="K49" s="214"/>
      <c r="L49" s="211"/>
      <c r="M49" s="280"/>
      <c r="N49" s="281">
        <f>Table12[[#Totals],[Column5]]+Table161243[[#Totals],[اجمالي]]</f>
        <v>79390</v>
      </c>
      <c r="U49" s="377"/>
    </row>
    <row r="50" ht="25.5" customHeight="1">
      <c r="A50" s="341">
        <f>A47*2</f>
        <v>0</v>
      </c>
      <c r="B50" s="320">
        <v>10</v>
      </c>
      <c r="C50" s="331" t="s">
        <v>289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79390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103207</v>
      </c>
      <c r="U51" s="377"/>
    </row>
    <row r="52" ht="25.5" customHeight="1">
      <c r="A52" s="341">
        <f>A48*4</f>
        <v>8</v>
      </c>
      <c r="B52" s="320">
        <v>1</v>
      </c>
      <c r="C52" s="331" t="s">
        <v>290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39230</v>
      </c>
      <c r="F54" s="345">
        <f>Table12[[#Totals],[Column5]]/(تسعير!T54*تسعير!T55/10000)</f>
        <v>1569.2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.75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4" t="s">
        <v>132</v>
      </c>
      <c r="M62" s="894"/>
      <c r="N62" s="894"/>
      <c r="O62" s="894"/>
      <c r="P62" s="894"/>
      <c r="Q62" s="894"/>
      <c r="R62" s="216"/>
      <c r="S62" s="216"/>
      <c r="T62" s="216"/>
    </row>
    <row r="63" ht="18.75">
      <c r="A63" s="350">
        <f>A61+A62</f>
        <v>2</v>
      </c>
      <c r="B63" s="320">
        <v>28</v>
      </c>
      <c r="C63" s="331" t="s">
        <v>276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Sheet2!B27</f>
        <v>510</v>
      </c>
      <c r="E71" s="568">
        <f>Table1257[[#This Row],[سعر]]*Table1257[[#This Row],[ميزان]]*Table1257[[#This Row],[عدد]]</f>
        <v>3009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Sheet2!B26</f>
        <v>220</v>
      </c>
      <c r="E72" s="568">
        <f>Table1257[[#This Row],[سعر]]*Table1257[[#This Row],[ميزان]]*Table1257[[#This Row],[عدد]]</f>
        <v>1298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Sheet2!B25</f>
        <v>95</v>
      </c>
      <c r="E73" s="568">
        <f>Table1257[[#This Row],[سعر]]*Table1257[[#This Row],[ميزان]]*Table1257[[#This Row],[عدد]]</f>
        <v>560.5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.75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10450</v>
      </c>
      <c r="P77" s="570"/>
      <c r="Q77" s="242"/>
      <c r="R77" s="573">
        <f>SUBTOTAL(109,Table16124360[اجمالي])</f>
        <v>42420</v>
      </c>
      <c r="S77" s="574" t="e">
        <f>Table16124360[[#Totals],[اجمالي]]/$G$84</f>
        <v>#DIV/0!</v>
      </c>
    </row>
    <row r="78" ht="18.75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.75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.75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88303.5</v>
      </c>
    </row>
    <row r="83" ht="18.75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88303.5</v>
      </c>
    </row>
    <row r="84" ht="18.75">
      <c r="A84" s="381">
        <f>A81*1.5</f>
        <v>0</v>
      </c>
      <c r="B84" s="320">
        <v>10</v>
      </c>
      <c r="C84" s="331" t="s">
        <v>289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114794.55</v>
      </c>
    </row>
    <row r="85" ht="18.75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.75">
      <c r="A86" s="381">
        <f>A82*4</f>
        <v>8</v>
      </c>
      <c r="B86" s="320">
        <v>1</v>
      </c>
      <c r="C86" s="331" t="s">
        <v>290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.75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45883.5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8" t="s">
        <v>0</v>
      </c>
      <c r="M1" s="889"/>
      <c r="N1" s="890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8" t="s">
        <v>0</v>
      </c>
      <c r="BH1" s="889"/>
      <c r="BI1" s="890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1"/>
      <c r="M2" s="892"/>
      <c r="N2" s="893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1"/>
      <c r="BH2" s="892"/>
      <c r="BI2" s="893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75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94796.8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5" t="s">
        <v>17</v>
      </c>
      <c r="M3" s="896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7">
        <f>NOW()</f>
        <v>46139.558078981485</v>
      </c>
      <c r="S3" s="898"/>
      <c r="T3" s="898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5" t="s">
        <v>17</v>
      </c>
      <c r="BH3" s="896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7">
        <f>NOW()</f>
        <v>46139.558078981485</v>
      </c>
      <c r="BN3" s="898"/>
      <c r="BO3" s="898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9.5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9788.8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4" t="s">
        <v>20</v>
      </c>
      <c r="P4" s="894"/>
      <c r="Q4" s="894"/>
      <c r="R4" s="894"/>
      <c r="S4" s="894"/>
      <c r="T4" s="894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4" t="s">
        <v>20</v>
      </c>
      <c r="BK4" s="894"/>
      <c r="BL4" s="894"/>
      <c r="BM4" s="894"/>
      <c r="BN4" s="894"/>
      <c r="BO4" s="894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9.5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12236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4379.2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0.0091700048105880991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0.0091700048105880991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5474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0.02380983705205331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0.02380983705205331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1674.4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0.028314400818657989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0.028314400818657989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0.0612942426812994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0.0612942426812994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4" t="s">
        <v>72</v>
      </c>
      <c r="P12" s="894"/>
      <c r="Q12" s="894"/>
      <c r="R12" s="894"/>
      <c r="S12" s="894"/>
      <c r="T12" s="894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4" t="s">
        <v>72</v>
      </c>
      <c r="BK12" s="894"/>
      <c r="BL12" s="894"/>
      <c r="BM12" s="894"/>
      <c r="BN12" s="894"/>
      <c r="BO12" s="894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0.0028600404867331303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0.0028600404867331303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0.00078651113385161083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0.00078651113385161083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0.00046475657909413363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0.00046475657909413363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0.0028600404867331303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0.0028600404867331303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0.006971348686412005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0.006971348686412005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4" t="s">
        <v>95</v>
      </c>
      <c r="P20" s="894"/>
      <c r="Q20" s="894"/>
      <c r="R20" s="894"/>
      <c r="S20" s="894"/>
      <c r="T20" s="894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4" t="s">
        <v>95</v>
      </c>
      <c r="BK20" s="894"/>
      <c r="BL20" s="894"/>
      <c r="BM20" s="894"/>
      <c r="BN20" s="894"/>
      <c r="BO20" s="894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0.0038610546570897256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0.0038610546570897256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0.0022522818833023398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0.0022522818833023398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9438.0660000000025</v>
      </c>
      <c r="C24" s="194"/>
      <c r="D24" s="194"/>
      <c r="E24" s="194"/>
      <c r="F24" s="194">
        <f>SUBTOTAL(109,Table80102114[price])</f>
        <v>171601.2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0.00096526366427243139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0.00096526366427243139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0.0070786002046644972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0.0070786002046644972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894" t="s">
        <v>99</v>
      </c>
      <c r="P26" s="894"/>
      <c r="Q26" s="894"/>
      <c r="R26" s="894"/>
      <c r="S26" s="894"/>
      <c r="T26" s="894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4" t="s">
        <v>99</v>
      </c>
      <c r="BK26" s="894"/>
      <c r="BL26" s="894"/>
      <c r="BM26" s="894"/>
      <c r="BN26" s="894"/>
      <c r="BO26" s="894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0.0036894522278857378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0.00026812879563123095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0.00019305273285448628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0.00026812879563123095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0.00019305273285448628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0.00014300202433665651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8.937626521041032E-05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0.0005362575912624619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0.0005362575912624619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0.000286004048673313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0.000286004048673313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0.01022464474007094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0.0013585192311982369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0.0027170384623964737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0.014586206482338963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0.043007858819249442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0.025740364380598173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0.031102940293222789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0.003396298077995592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0.003396298077995592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0.032515085283547275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0.10950380013579472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4" t="s">
        <v>162</v>
      </c>
      <c r="BK44" s="894"/>
      <c r="BL44" s="894"/>
      <c r="BM44" s="894"/>
      <c r="BN44" s="894"/>
      <c r="BO44" s="894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894" t="s">
        <v>162</v>
      </c>
      <c r="P45" s="894"/>
      <c r="Q45" s="894"/>
      <c r="R45" s="894"/>
      <c r="S45" s="894"/>
      <c r="T45" s="894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0.37264432765310224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171601.2</v>
      </c>
      <c r="V47" s="252">
        <f>M47*Table16136877[[#This Row],[سعر الشبك ]]</f>
        <v>171601.2</v>
      </c>
      <c r="W47" s="241">
        <f>(V47)/$R$68</f>
        <v>0.61348297446498656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0.037264432765310232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171601.2</v>
      </c>
      <c r="V48" s="240">
        <f>M48*Table16136877[[#This Row],[سعر الشبك ]]</f>
        <v>17160.120000000003</v>
      </c>
      <c r="W48" s="241">
        <f>(V48)/$R$68</f>
        <v>0.061348297446498661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0.40990876041841245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188761.32</v>
      </c>
      <c r="W49" s="244">
        <f>Table16136877[[#Totals],[اجمالي]]/$R$68</f>
        <v>0.67483127191148518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4" t="s">
        <v>132</v>
      </c>
      <c r="BK49" s="894"/>
      <c r="BL49" s="894"/>
      <c r="BM49" s="894"/>
      <c r="BN49" s="894"/>
      <c r="BO49" s="894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894" t="s">
        <v>132</v>
      </c>
      <c r="P50" s="894"/>
      <c r="Q50" s="894"/>
      <c r="R50" s="894"/>
      <c r="S50" s="894"/>
      <c r="T50" s="894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0.002002028340713191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0.002002028340713191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0.002002028340713191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0.002002028340713191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0.0060060850221395736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0.0060060850221395736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0.01430020243366565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0.01430020243366565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0.010725151825249238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0.010725151825249238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0.01430020243366565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0.01430020243366565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0.025168356283251547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0.031460445354064434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0.012870182190299086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0.012870182190299086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0.04290060730099695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0.04290060730099695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0.0037538031388372334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0.0037538031388372334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0.13402864730953132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0.1403207363803442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9"/>
      <c r="BK65" s="899"/>
      <c r="BL65" s="899"/>
      <c r="BM65" s="899"/>
      <c r="BN65" s="899"/>
      <c r="BO65" s="899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899"/>
      <c r="P66" s="899"/>
      <c r="Q66" s="899"/>
      <c r="R66" s="899"/>
      <c r="S66" s="899"/>
      <c r="T66" s="899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182318.16999999998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279716.32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237013.62099999999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335659.584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9" t="s">
        <v>0</v>
      </c>
      <c r="BH71" s="889"/>
      <c r="BI71" s="889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9" t="s">
        <v>0</v>
      </c>
      <c r="M72" s="889"/>
      <c r="N72" s="889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1"/>
      <c r="BH72" s="901"/>
      <c r="BI72" s="901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1"/>
      <c r="M73" s="901"/>
      <c r="N73" s="901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3" t="s">
        <v>17</v>
      </c>
      <c r="BH73" s="903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8">
        <f>NOW()</f>
        <v>46139.558079097224</v>
      </c>
      <c r="BN73" s="898"/>
      <c r="BO73" s="898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2" t="s">
        <v>17</v>
      </c>
      <c r="M74" s="902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8">
        <f>NOW()</f>
        <v>46139.558079097224</v>
      </c>
      <c r="S74" s="898"/>
      <c r="T74" s="898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4" t="s">
        <v>20</v>
      </c>
      <c r="BK74" s="894"/>
      <c r="BL74" s="894"/>
      <c r="BM74" s="894"/>
      <c r="BN74" s="894"/>
      <c r="BO74" s="894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4" t="s">
        <v>20</v>
      </c>
      <c r="P75" s="894"/>
      <c r="Q75" s="894"/>
      <c r="R75" s="894"/>
      <c r="S75" s="894"/>
      <c r="T75" s="894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83020.8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0.027027382599628079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8572.8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0.054054765199256158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0.02380983705205331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10716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0.02380983705205331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0.028314400818657989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.75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3835.2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0.028314400818657989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.75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4794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.75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1466.4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0.079151620470339371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.75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29700</v>
      </c>
      <c r="W82" s="244">
        <f>Table15880101[[#Totals],[اجمالي]]/$R$68</f>
        <v>0.10617900306996746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4" t="s">
        <v>72</v>
      </c>
      <c r="BK82" s="894"/>
      <c r="BL82" s="894"/>
      <c r="BM82" s="894"/>
      <c r="BN82" s="894"/>
      <c r="BO82" s="894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.75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4" t="s">
        <v>72</v>
      </c>
      <c r="P83" s="894"/>
      <c r="Q83" s="894"/>
      <c r="R83" s="894"/>
      <c r="S83" s="894"/>
      <c r="T83" s="894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.75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0.0042900607300996952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.75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0.0028600404867331303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0.00078651113385161083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.75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0.00078651113385161083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0.00046475657909413363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.75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0.00046475657909413363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0.001716024292039878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0.017160242920398781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0.007257352735085318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0.021271551120077656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4" t="s">
        <v>95</v>
      </c>
      <c r="BK90" s="894"/>
      <c r="BL90" s="894"/>
      <c r="BM90" s="894"/>
      <c r="BN90" s="894"/>
      <c r="BO90" s="894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4" t="s">
        <v>95</v>
      </c>
      <c r="P91" s="894"/>
      <c r="Q91" s="894"/>
      <c r="R91" s="894"/>
      <c r="S91" s="894"/>
      <c r="T91" s="894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0.0077221093141794511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0.0019305273285448628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0.0096526366427243139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4" t="s">
        <v>99</v>
      </c>
      <c r="BK96" s="894"/>
      <c r="BL96" s="894"/>
      <c r="BM96" s="894"/>
      <c r="BN96" s="894"/>
      <c r="BO96" s="894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8561.146</v>
      </c>
      <c r="C97" s="194"/>
      <c r="D97" s="194"/>
      <c r="E97" s="194"/>
      <c r="F97" s="194">
        <f>SUBTOTAL(109,Table80102114115[price])</f>
        <v>155657.2</v>
      </c>
      <c r="L97" s="216"/>
      <c r="M97" s="216"/>
      <c r="N97" s="217"/>
      <c r="O97" s="894" t="s">
        <v>99</v>
      </c>
      <c r="P97" s="894"/>
      <c r="Q97" s="894"/>
      <c r="R97" s="894"/>
      <c r="S97" s="894"/>
      <c r="T97" s="894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0.0040850911618838213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0.0051814400151315209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0.00019305273285448628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0.00026812879563123095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0.00019305273285448628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0.00026812879563123095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8.937626521041032E-05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0.00014300202433665651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0.0005362575912624619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0.0005362575912624619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0.000286004048673313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0.000286004048673313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0.0039325556692580543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0.0039325556692580543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0.0020377788467973554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0.0020377788467973554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0.016409482292631335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0.020056033913216077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0.027762651341425724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0.032709329699937895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4" t="s">
        <v>162</v>
      </c>
      <c r="BK115" s="894"/>
      <c r="BL115" s="894"/>
      <c r="BM115" s="894"/>
      <c r="BN115" s="894"/>
      <c r="BO115" s="894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894" t="s">
        <v>162</v>
      </c>
      <c r="P116" s="894"/>
      <c r="Q116" s="894"/>
      <c r="R116" s="894"/>
      <c r="S116" s="894"/>
      <c r="T116" s="894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0.37264432765310224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155657.2</v>
      </c>
      <c r="V118" s="252">
        <f>M118*Table1613687798[[#This Row],[سعر الشبك ]]</f>
        <v>155657.2</v>
      </c>
      <c r="W118" s="241">
        <f>(V118)/$R$68</f>
        <v>0.55648236756439529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0.037264432765310232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155657.2</v>
      </c>
      <c r="V119" s="240">
        <f>M119*Table1613687798[[#This Row],[سعر الشبك ]]</f>
        <v>15565.720000000001</v>
      </c>
      <c r="W119" s="241">
        <f>(V119)/$R$68</f>
        <v>0.055648236756439526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0.40990876041841245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171222.92</v>
      </c>
      <c r="W120" s="244">
        <f>Table1613687798[[#Totals],[اجمالي]]/$R$68</f>
        <v>0.61213060432083477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4" t="s">
        <v>132</v>
      </c>
      <c r="BK120" s="894"/>
      <c r="BL120" s="894"/>
      <c r="BM120" s="894"/>
      <c r="BN120" s="894"/>
      <c r="BO120" s="894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894" t="s">
        <v>132</v>
      </c>
      <c r="P121" s="894"/>
      <c r="Q121" s="894"/>
      <c r="R121" s="894"/>
      <c r="S121" s="894"/>
      <c r="T121" s="894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0.002002028340713191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0.002002028340713191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0.002002028340713191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0.002002028340713191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0.0060060850221395736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0.0060060850221395736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0.01430020243366565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0.01430020243366565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0.010725151825249238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0.010725151825249238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0.01430020243366565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0.01430020243366565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0.025168356283251547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0.031460445354064434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0.012870182190299086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0.012870182190299086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0.04290060730099695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0.04290060730099695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0.0037538031388372334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0.0037538031388372334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0.13402864730953132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0.1403207363803442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9"/>
      <c r="BK136" s="899"/>
      <c r="BL136" s="899"/>
      <c r="BM136" s="899"/>
      <c r="BN136" s="899"/>
      <c r="BO136" s="899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899"/>
      <c r="P137" s="899"/>
      <c r="Q137" s="899"/>
      <c r="R137" s="899"/>
      <c r="S137" s="899"/>
      <c r="T137" s="899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186783.83666666664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255272.25333333336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242818.98766666665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331853.92933333339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vetanoia14</cp:lastModifiedBy>
  <dcterms:created xsi:type="dcterms:W3CDTF">2015-06-05T18:17:00Z</dcterms:created>
  <dcterms:modified xsi:type="dcterms:W3CDTF">2026-04-27T12:56:20Z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