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xr:revisionPtr revIDLastSave="0" documentId="8_{26380B0B-A2A7-A34E-9F5B-CFDBFCE2D934}" xr6:coauthVersionLast="47" xr6:coauthVersionMax="47" xr10:uidLastSave="{00000000-0000-0000-0000-000000000000}"/>
  <bookViews>
    <workbookView xWindow="-105" yWindow="-105" windowWidth="23250" windowHeight="1257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8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<sst xmlns="http://schemas.openxmlformats.org/spreadsheetml/2006/main" count="594" uniqueCount="594">
  <si>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</si>
  <si>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</si>
  <si>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</si>
  <si>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</si>
  <si>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</si>
  <si>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</si>
  <si>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</si>
  <si>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</si>
  <si>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</si>
  <si>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</si>
  <si>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</si>
  <si>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</si>
  <si>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</si>
  <si>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</si>
  <si>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</si>
  <si>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</si>
  <si>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</si>
  <si>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</si>
  <si>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</si>
  <si>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</si>
  <si>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</si>
  <si>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</si>
  <si>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</si>
  <si>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</si>
  <si>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</si>
  <si>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</si>
  <si>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</si>
  <si>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</si>
  <si>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</si>
  <si>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</si>
  <si>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</si>
  <si>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</si>
  <si>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</si>
  <si>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</si>
  <si>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</si>
  <si>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</si>
  <si>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</si>
  <si>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</si>
  <si>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</si>
  <si>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</si>
  <si>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</si>
  <si>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</si>
  <si>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</si>
  <si>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</si>
  <si>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</si>
  <si>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</si>
  <si>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</si>
  <si>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</si>
  <si>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</si>
  <si>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</si>
  <si>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</si>
  <si>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</si>
  <si>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</si>
  <si>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</si>
  <si>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</si>
  <si>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</si>
  <si>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</si>
  <si>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</si>
  <si>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</si>
  <si>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</si>
  <si>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</si>
  <si>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</si>
  <si>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</si>
  <si>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</si>
  <si>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</si>
  <si>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</si>
  <si>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</si>
  <si>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</si>
  <si>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</si>
  <si>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</si>
  <si>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</si>
  <si>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</si>
  <si>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</si>
  <si>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</si>
  <si>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</si>
  <si>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</si>
  <si>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</si>
  <si>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</si>
  <si>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</si>
  <si>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</si>
  <si>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</si>
  <si>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</si>
  <si>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</si>
  <si>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</si>
  <si>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</si>
  <si>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</si>
  <si>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</si>
  <si>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</si>
  <si>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</si>
  <si>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</si>
  <si>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</si>
  <si>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</si>
  <si>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</si>
  <si>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</si>
  <si>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</si>
  <si>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</si>
  <si>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</si>
  <si>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</si>
  <si>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</si>
  <si>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</si>
  <si>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</si>
  <si>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</si>
  <si>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</si>
  <si>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</si>
  <si>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</si>
  <si>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</si>
  <si>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</si>
  <si>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</si>
  <si>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</si>
  <si>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</si>
  <si>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</si>
  <si>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</si>
  <si>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</si>
  <si>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</si>
  <si>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</si>
  <si>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</si>
  <si>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</si>
  <si>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</si>
  <si>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</si>
  <si>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</si>
  <si>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</si>
  <si>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</si>
  <si>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</si>
  <si>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</si>
  <si>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</si>
  <si>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</si>
  <si>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</si>
  <si>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</si>
  <si>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</si>
  <si>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</si>
  <si>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</si>
  <si>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</si>
  <si>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</si>
  <si>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</si>
  <si>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</si>
  <si>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</si>
  <si>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</si>
  <si>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</si>
  <si>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</si>
  <si>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</si>
  <si>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</si>
  <si>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</si>
  <si>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</si>
  <si>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</si>
  <si>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</si>
  <si>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</si>
  <si>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</si>
  <si>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</si>
  <si>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</si>
  <si>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</si>
  <si>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</si>
  <si>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</si>
  <si>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</si>
  <si>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</si>
  <si>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</si>
  <si>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</si>
  <si>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</si>
  <si>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</si>
  <si>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</si>
  <si>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</si>
  <si>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</si>
  <si>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</si>
  <si>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</si>
  <si>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</si>
  <si>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</si>
  <si>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</si>
  <si>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</si>
  <si>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</si>
  <si>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</si>
  <si>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</si>
  <si>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</si>
  <si>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</si>
  <si>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</si>
  <si>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</si>
  <si>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</si>
  <si>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</si>
  <si>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</si>
  <si>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</si>
  <si>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</si>
  <si>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</si>
  <si>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</si>
  <si>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</si>
  <si>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</si>
  <si>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</si>
  <si>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</si>
  <si>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</si>
  <si>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</si>
  <si>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</si>
  <si>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</si>
  <si>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</si>
  <si>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</si>
  <si>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</si>
  <si>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</si>
  <si>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</si>
  <si>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</si>
  <si>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</si>
  <si>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</si>
  <si>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</si>
  <si>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</si>
  <si>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</si>
  <si>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</si>
  <si>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</si>
  <si>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</si>
  <si>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</si>
  <si>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</si>
  <si>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</si>
  <si>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</si>
  <si>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</si>
  <si>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</si>
  <si>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</si>
  <si>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</si>
  <si>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</si>
  <si>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</si>
  <si>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</si>
  <si>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</si>
  <si>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</si>
  <si>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</si>
  <si>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</si>
  <si>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</si>
  <si>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</si>
  <si>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</si>
  <si>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</si>
  <si>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</si>
  <si>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</si>
  <si>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</si>
  <si>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</si>
  <si>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</si>
  <si>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</si>
  <si>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</si>
  <si>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</si>
  <si>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</si>
  <si>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</si>
  <si>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</si>
  <si>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</si>
  <si>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</si>
  <si>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</si>
  <si>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</si>
  <si>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</si>
  <si>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</si>
  <si>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</si>
  <si>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</si>
  <si>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</si>
  <si>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</si>
  <si>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</si>
  <si>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</si>
  <si>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</si>
  <si>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</si>
  <si>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</si>
  <si>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</si>
  <si>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</si>
  <si>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</si>
  <si>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</si>
  <si>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</si>
  <si>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</si>
  <si>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</si>
  <si>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</si>
  <si>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</si>
  <si>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</si>
  <si>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</si>
  <si>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</si>
  <si>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</si>
  <si>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</si>
  <si>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</si>
  <si>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</si>
  <si>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</si>
  <si>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</si>
  <si>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</si>
  <si>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</si>
  <si>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</si>
  <si>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</si>
  <si>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</si>
  <si>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</si>
  <si>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</si>
  <si>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</si>
  <si>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</si>
  <si>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</si>
  <si>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</si>
  <si>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</si>
  <si>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</si>
  <si>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</si>
  <si>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</si>
  <si>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</si>
  <si>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</si>
  <si>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</si>
  <si>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</si>
  <si>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</si>
  <si>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</si>
  <si>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</si>
  <si>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</si>
  <si>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</si>
  <si>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</si>
  <si>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</si>
  <si>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</si>
  <si>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</si>
  <si>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</si>
  <si>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</si>
  <si>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</si>
  <si>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</si>
  <si>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</si>
  <si>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</si>
  <si>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</si>
  <si>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</si>
  <si>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</si>
  <si>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</si>
  <si>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</si>
  <si>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</si>
  <si>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</si>
  <si>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</si>
  <si>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</si>
  <si>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</si>
  <si>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</si>
  <si>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</si>
  <si>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</si>
  <si>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</si>
  <si>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</si>
  <si>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</si>
  <si>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</si>
  <si>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</si>
  <si>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</si>
  <si>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</si>
  <si>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</si>
  <si>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</si>
  <si>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</si>
  <si>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</si>
  <si>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</si>
  <si>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</si>
  <si>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</si>
  <si>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</si>
  <si>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</si>
  <si>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</si>
  <si>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</si>
  <si>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</si>
  <si>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</si>
  <si>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</si>
  <si>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</si>
  <si>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</si>
  <si>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</si>
  <si>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</si>
  <si>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</si>
  <si>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</si>
  <si>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</si>
  <si>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</si>
  <si>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</si>
  <si>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</si>
  <si>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</si>
  <si>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</si>
  <si>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</si>
  <si>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</si>
  <si>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</si>
  <si>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</si>
  <si>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</si>
  <si>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</si>
  <si>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</si>
  <si>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</si>
  <si>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</si>
  <si>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</si>
  <si>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</si>
  <si>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</si>
  <si>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</si>
  <si>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</si>
  <si>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</si>
  <si>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</si>
  <si>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</si>
  <si>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</si>
  <si>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</si>
  <si>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</si>
  <si>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</si>
  <si>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</si>
  <si>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</si>
  <si>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</si>
  <si>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</si>
  <si>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</si>
  <si>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</si>
  <si>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</si>
  <si>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</si>
  <si>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</si>
  <si>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</si>
  <si>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</si>
  <si>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</si>
  <si>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</si>
  <si>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</si>
  <si>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</si>
  <si>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</si>
  <si>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</si>
  <si>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</si>
  <si>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</si>
  <si>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</si>
  <si>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</si>
  <si>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</si>
  <si>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</si>
  <si>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</si>
  <si>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</si>
  <si>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</si>
  <si>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</si>
  <si>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</si>
  <si>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</si>
  <si>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</si>
  <si>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</si>
  <si>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</si>
  <si>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</si>
  <si>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</si>
  <si>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</si>
  <si>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</si>
  <si>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</si>
  <si>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</si>
  <si>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</si>
  <si>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</si>
  <si>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</si>
  <si>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</si>
  <si>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</si>
  <si>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</si>
  <si>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</si>
  <si>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</si>
  <si>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</si>
  <si>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</si>
  <si>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</si>
  <si>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</si>
  <si>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</si>
  <si>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</si>
  <si>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</si>
  <si>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</si>
  <si>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</si>
  <si>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</si>
  <si>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</si>
  <si>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</si>
  <si>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</si>
  <si>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</si>
  <si>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</si>
  <si>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</si>
  <si>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</si>
  <si>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</si>
  <si>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</si>
  <si>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</si>
  <si>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</si>
  <si>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</si>
  <si>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</si>
  <si>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</si>
  <si>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</si>
  <si>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</si>
  <si>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</si>
  <si>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</si>
  <si>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</si>
  <si>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</si>
  <si>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</si>
  <si>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</si>
  <si>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</si>
  <si>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</si>
  <si>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</si>
  <si>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</si>
  <si>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</si>
  <si>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</si>
  <si>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</si>
  <si>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</si>
  <si>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</si>
  <si>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</si>
  <si>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</si>
  <si>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</si>
  <si>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</si>
  <si>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</si>
  <si>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</si>
  <si>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</si>
  <si>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</si>
  <si>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</si>
  <si>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</si>
  <si>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</si>
  <si>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</si>
  <si>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</si>
  <si>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</si>
  <si>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</si>
  <si>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</si>
  <si>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</si>
  <si>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</si>
  <si>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</si>
  <si>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</si>
  <si>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</si>
  <si>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</si>
  <si>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</si>
  <si>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</si>
  <si>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</si>
  <si>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</si>
  <si>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</si>
  <si>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</si>
  <si>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</si>
  <si>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</si>
  <si>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</si>
  <si>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</si>
  <si>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</si>
  <si>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</si>
  <si>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</si>
  <si>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</si>
  <si>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</si>
  <si>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</si>
  <si>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</si>
  <si>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</si>
  <si>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</si>
  <si>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</si>
  <si>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</si>
  <si>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</si>
  <si>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</si>
  <si>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</si>
  <si>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</si>
  <si>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</si>
  <si>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</si>
  <si>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</si>
  <si>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</si>
  <si>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</si>
  <si>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</si>
  <si>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</si>
  <si>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</si>
  <si>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</si>
  <si>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</si>
  <si>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</si>
  <si>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</si>
  <si>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</si>
  <si>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</si>
  <si>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</si>
  <si>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</si>
  <si>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</si>
  <si>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</si>
  <si>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</si>
  <si>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</si>
  <si>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</si>
  <si>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</si>
  <si>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</si>
  <si>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</si>
  <si>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</si>
  <si>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</si>
  <si>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</si>
  <si>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</si>
  <si>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</si>
  <si>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</si>
  <si>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</si>
  <si>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</si>
  <si>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</si>
  <si>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</si>
  <si>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</si>
  <si>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</si>
  <si>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</si>
  <si>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</si>
  <si>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</si>
  <si>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</si>
  <si>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</si>
  <si>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</si>
  <si>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</si>
  <si>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</si>
  <si>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</si>
  <si>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</si>
  <si>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</si>
  <si>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</si>
  <si>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</si>
  <si>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</si>
  <si>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</si>
  <si>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</si>
  <si>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</si>
  <si>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</si>
  <si>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</si>
  <si>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</si>
  <si>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</si>
  <si>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</si>
  <si>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</si>
  <si>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</si>
  <si>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</si>
  <si>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</si>
  <si>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</si>
  <si>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</si>
  <si>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</si>
  <si>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تليسكوب</t>
  </si>
  <si>
    <t>المحرك</t>
  </si>
  <si>
    <t>ROYAL UMBRELLA</t>
  </si>
  <si>
    <t>التثبيت</t>
  </si>
  <si>
    <t>العرض cm</t>
  </si>
  <si>
    <t>.</t>
  </si>
  <si>
    <t>الامتداد cm</t>
  </si>
  <si>
    <t>ROYAL PERGOLA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</si>
  <si>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</si>
  <si>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</si>
  <si>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</si>
  <si>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</si>
  <si>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</si>
  <si>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</si>
  <si>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</si>
  <si>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</si>
  <si>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</si>
  <si>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</si>
  <si>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</si>
  <si>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</si>
  <si>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</si>
  <si>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</si>
  <si>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</si>
  <si>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</si>
  <si>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</si>
  <si>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مسطح</t>
  </si>
  <si>
    <t>JOTAMASTIC 87</t>
  </si>
  <si>
    <t>HARDTOP 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</si>
</sst>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6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3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3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56"/>
    <tableColumn id="2" xr3:uid="{00000000-0010-0000-0900-000002000000}" name="المعدل" dataDxfId="1201"/>
    <tableColumn id="3" xr3:uid="{00000000-0010-0000-0900-000003000000}" name="الوحدة" dataDxfId="1324"/>
    <tableColumn id="4" xr3:uid="{00000000-0010-0000-0900-000004000000}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12" totalsRowDxfId="1313"/>
    <tableColumn id="2" xr3:uid="{00000000-0010-0000-6300-000002000000}" name="عدد" dataDxfId="1316" totalsRowDxfId="131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12" totalsRowDxfId="1313"/>
    <tableColumn id="11" xr3:uid="{00000000-0010-0000-6300-00000B000000}" name="Column2" dataDxfId="1312" totalsRowDxfId="1313"/>
    <tableColumn id="10" xr3:uid="{00000000-0010-0000-6300-00000A000000}" name="Column1" dataDxfId="1312" totalsRowDxfId="1313"/>
    <tableColumn id="12" xr3:uid="{00000000-0010-0000-6300-00000C000000}" name="Column12" dataDxfId="1312" totalsRowDxfId="1313"/>
    <tableColumn id="4" xr3:uid="{00000000-0010-0000-6300-000004000000}" name="الوحده" totalsRowLabel="total" dataDxfId="1312" totalsRowDxfId="1313"/>
    <tableColumn id="5" xr3:uid="{00000000-0010-0000-6300-000005000000}" name="الوزن" dataDxfId="1312" totalsRowDxfId="1313"/>
    <tableColumn id="6" xr3:uid="{00000000-0010-0000-6300-000006000000}" name="سعر الكيلو" dataDxfId="1312" totalsRowDxfId="1313"/>
    <tableColumn id="7" xr3:uid="{00000000-0010-0000-6300-000007000000}" name="سعر الشبك " dataDxfId="1322" totalsRowDxfId="1328">
      <calculatedColumnFormula>BP28</calculatedColumnFormula>
    </tableColumn>
    <tableColumn id="8" xr3:uid="{00000000-0010-0000-6300-000008000000}" name="اجمالي" totalsRowFunction="sum" dataDxfId="1323" totalsRowDxfId="1329">
      <calculatedColumnFormula>BH98*BP99</calculatedColumnFormula>
    </tableColumn>
    <tableColumn id="9" xr3:uid="{00000000-0010-0000-6300-000009000000}" name="%" totalsRowFunction="custom" totalsRowDxfId="13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12" totalsRowDxfId="1313"/>
    <tableColumn id="2" xr3:uid="{00000000-0010-0000-6400-000002000000}" name="عدد" dataDxfId="1316" totalsRowDxfId="1313">
      <calculatedColumnFormula>IF((#REF!="بالتات"),0,4)</calculatedColumnFormula>
    </tableColumn>
    <tableColumn id="3" xr3:uid="{00000000-0010-0000-6400-000003000000}" name="بيان" totalsRowLabel="Total" dataDxfId="1312" totalsRowDxfId="1313"/>
    <tableColumn id="11" xr3:uid="{00000000-0010-0000-6400-00000B000000}" name="Column2" dataDxfId="1312" totalsRowDxfId="1313"/>
    <tableColumn id="10" xr3:uid="{00000000-0010-0000-6400-00000A000000}" name="Column1" dataDxfId="1312" totalsRowDxfId="1313"/>
    <tableColumn id="12" xr3:uid="{00000000-0010-0000-6400-00000C000000}" name="Column12" dataDxfId="1327" totalsRowDxfId="1338"/>
    <tableColumn id="4" xr3:uid="{00000000-0010-0000-6400-000004000000}" name="الوحده" dataDxfId="1312" totalsRowDxfId="1313"/>
    <tableColumn id="5" xr3:uid="{00000000-0010-0000-6400-000005000000}" name="الوزن" dataDxfId="1312" totalsRowDxfId="1313"/>
    <tableColumn id="6" xr3:uid="{00000000-0010-0000-6400-000006000000}" name="سعر الكيلو" dataDxfId="1312" totalsRowDxfId="1313"/>
    <tableColumn id="7" xr3:uid="{00000000-0010-0000-6400-000007000000}" name="سعر الشبك " dataDxfId="1350" totalsRowDxfId="1328">
      <calculatedColumnFormula>Sheet2!AW26</calculatedColumnFormula>
    </tableColumn>
    <tableColumn id="8" xr3:uid="{00000000-0010-0000-6400-000008000000}" name="اجمالي" totalsRowFunction="sum" dataDxfId="1323" totalsRowDxfId="1329">
      <calculatedColumnFormula>BH84*BP84</calculatedColumnFormula>
    </tableColumn>
    <tableColumn id="9" xr3:uid="{00000000-0010-0000-6400-000009000000}" name="%" totalsRowFunction="custom" totalsRowDxfId="13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12"/>
    <tableColumn id="2" xr3:uid="{00000000-0010-0000-6500-000002000000}" name="عدد" totalsRowFunction="sum" dataDxfId="1312">
      <calculatedColumnFormula>BH90*4</calculatedColumnFormula>
    </tableColumn>
    <tableColumn id="3" xr3:uid="{00000000-0010-0000-6500-000003000000}" name="بيان" totalsRowLabel="Total" dataDxfId="1312"/>
    <tableColumn id="11" xr3:uid="{00000000-0010-0000-6500-00000B000000}" name="Column2" dataDxfId="1312"/>
    <tableColumn id="10" xr3:uid="{00000000-0010-0000-6500-00000A000000}" name="Column1" dataDxfId="1312"/>
    <tableColumn id="12" xr3:uid="{00000000-0010-0000-6500-00000C000000}" name="Column12" totalsRowFunction="sum" dataDxfId="1327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12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16"/>
    <tableColumn id="7" xr3:uid="{00000000-0010-0000-6500-000007000000}" name="سعر الشبك " dataDxfId="1322">
      <calculatedColumnFormula>BN92*$S$2/1000</calculatedColumnFormula>
    </tableColumn>
    <tableColumn id="8" xr3:uid="{00000000-0010-0000-6500-000008000000}" name="اجمالي" totalsRowFunction="sum" dataDxfId="132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34"/>
    <tableColumn id="2" xr3:uid="{00000000-0010-0000-6600-000002000000}" name="المعدل" dataDxfId="1334"/>
    <tableColumn id="3" xr3:uid="{00000000-0010-0000-6600-000003000000}" name="الوحدة" dataDxfId="1334"/>
    <tableColumn id="4" xr3:uid="{00000000-0010-0000-6600-000004000000}" name="Column4" dataDxfId="134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34"/>
    <tableColumn id="2" xr3:uid="{00000000-0010-0000-6700-000002000000}" name="Column2" dataDxfId="1348"/>
    <tableColumn id="3" xr3:uid="{00000000-0010-0000-6700-000003000000}" name="Column3" dataDxfId="1334"/>
    <tableColumn id="4" xr3:uid="{00000000-0010-0000-6700-000004000000}" name="Column4" dataDxfId="1334"/>
    <tableColumn id="5" xr3:uid="{00000000-0010-0000-6700-000005000000}" name="Column5" dataDxfId="133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12"/>
    <tableColumn id="2" xr3:uid="{00000000-0010-0000-6800-000002000000}" name="عدد" dataDxfId="1340">
      <calculatedColumnFormula>IF((تسعير!$AU$14="بالتات"),0,BH119-2)</calculatedColumnFormula>
    </tableColumn>
    <tableColumn id="3" xr3:uid="{00000000-0010-0000-6800-000003000000}" name="بيان" totalsRowLabel="Total" dataDxfId="1343"/>
    <tableColumn id="5" xr3:uid="{00000000-0010-0000-6800-000005000000}" name="اليومية / الاجرة" dataDxfId="1343"/>
    <tableColumn id="6" xr3:uid="{00000000-0010-0000-6800-000006000000}" name="بدل الوجبة" dataDxfId="1344"/>
    <tableColumn id="11" xr3:uid="{00000000-0010-0000-6800-00000B000000}" name="موقع العمل" dataDxfId="1333">
      <calculatedColumnFormula>تسعير!$BE$44</calculatedColumnFormula>
    </tableColumn>
    <tableColumn id="10" xr3:uid="{00000000-0010-0000-6800-00000A000000}" name="شيفت العمل" dataDxfId="1312"/>
    <tableColumn id="12" xr3:uid="{00000000-0010-0000-6800-00000C000000}" name="Column12" totalsRowFunction="sum" dataDxfId="13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53"/>
    <tableColumn id="7" xr3:uid="{00000000-0010-0000-6800-000007000000}" name="اجمالي التكلفة للعامل" dataDxfId="1354">
      <calculatedColumnFormula>Table1612677697108[[#This Row],[Column12]]</calculatedColumnFormula>
    </tableColumn>
    <tableColumn id="8" xr3:uid="{00000000-0010-0000-6800-000008000000}" name="اجمالي" totalsRowFunction="sum" dataDxfId="132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33"/>
    <tableColumn id="2" xr3:uid="{00000000-0010-0000-6900-000002000000}" name="عدد" dataDxfId="1340">
      <calculatedColumnFormula>IF((BL133="الاسكندرية"),0.25,0.1)</calculatedColumnFormula>
    </tableColumn>
    <tableColumn id="3" xr3:uid="{00000000-0010-0000-6900-000003000000}" name="بيان" totalsRowLabel="Total" dataDxfId="1333"/>
    <tableColumn id="11" xr3:uid="{00000000-0010-0000-6900-00000B000000}" name="Column2" dataDxfId="1333"/>
    <tableColumn id="10" xr3:uid="{00000000-0010-0000-6900-00000A000000}" name="Column1" dataDxfId="1333"/>
    <tableColumn id="12" xr3:uid="{00000000-0010-0000-6900-00000C000000}" name="Column12" totalsRowFunction="sum" dataDxfId="1358"/>
    <tableColumn id="4" xr3:uid="{00000000-0010-0000-6900-000004000000}" name="الوحده" dataDxfId="1335"/>
    <tableColumn id="5" xr3:uid="{00000000-0010-0000-6900-000005000000}" name="الوزن" dataDxfId="1333"/>
    <tableColumn id="6" xr3:uid="{00000000-0010-0000-6900-000006000000}" name="سعر الكيلو" dataDxfId="1333"/>
    <tableColumn id="7" xr3:uid="{00000000-0010-0000-6900-000007000000}" name="سعر الشبك " dataDxfId="1350">
      <calculatedColumnFormula>BQ116</calculatedColumnFormula>
    </tableColumn>
    <tableColumn id="8" xr3:uid="{00000000-0010-0000-6900-000008000000}" name="اجمالي" totalsRowFunction="sum" dataDxfId="132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34"/>
    <tableColumn id="2" xr3:uid="{00000000-0010-0000-6A00-000002000000}" name="خارجي" dataDxfId="1334"/>
    <tableColumn id="3" xr3:uid="{00000000-0010-0000-6A00-000003000000}" name="داخلي" dataDxfId="1334"/>
    <tableColumn id="4" xr3:uid="{00000000-0010-0000-6A00-000004000000}" name="بدل الوجبة" dataDxfId="1334"/>
    <tableColumn id="5" xr3:uid="{00000000-0010-0000-6A00-000005000000}" name="دبابة" dataDxfId="1334"/>
    <tableColumn id="6" xr3:uid="{00000000-0010-0000-6A00-000006000000}" name="جامبو" dataDxfId="1334"/>
    <tableColumn id="7" xr3:uid="{00000000-0010-0000-6A00-000007000000}" name="الاقامة" dataDxfId="133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33"/>
    <tableColumn id="4" xr3:uid="{00000000-0010-0000-6B00-000004000000}" name="Column22" dataDxfId="1333"/>
    <tableColumn id="5" xr3:uid="{00000000-0010-0000-6B00-000005000000}" name="Column23" dataDxfId="1333"/>
    <tableColumn id="3" xr3:uid="{00000000-0010-0000-6B00-000003000000}" name="Column3" dataDxfId="1355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4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12"/>
    <tableColumn id="2" xr3:uid="{00000000-0010-0000-6C00-000002000000}" name="عدد" dataDxfId="131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12"/>
    <tableColumn id="11" xr3:uid="{00000000-0010-0000-6C00-00000B000000}" name="Column2" dataDxfId="1312"/>
    <tableColumn id="10" xr3:uid="{00000000-0010-0000-6C00-00000A000000}" name="Column1" dataDxfId="1312"/>
    <tableColumn id="12" xr3:uid="{00000000-0010-0000-6C00-00000C000000}" name="المسطح" totalsRowFunction="sum" dataDxfId="1327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12"/>
    <tableColumn id="5" xr3:uid="{00000000-0010-0000-6C00-000005000000}" name="الوزن" totalsRowFunction="custom">
      <totalsRowFormula>(BN76*BH76)+(BN77*BH77)+(BN78*BH78)+(BN79*BH79)</totalsRowFormula>
    </tableColumn>
    <tableColumn id="6" xr3:uid="{00000000-0010-0000-6C00-000006000000}" name="اجمالي المسطح" totalsRowFunction="sum" dataDxfId="1316">
      <calculatedColumnFormula>Table15880101112[[#This Row],[المسطح]]*Table15880101112[[#This Row],[عدد]]</calculatedColumnFormula>
    </tableColumn>
    <tableColumn id="7" xr3:uid="{00000000-0010-0000-6C00-000007000000}" name="سعر الشبك " dataDxfId="1359">
      <calculatedColumnFormula>BN76*$S$2/1000</calculatedColumnFormula>
    </tableColumn>
    <tableColumn id="8" xr3:uid="{00000000-0010-0000-6C00-000008000000}" name="اجمالي" totalsRowFunction="sum" dataDxfId="1323">
      <calculatedColumnFormula>BH76*BP76</calculatedColumnFormula>
    </tableColumn>
    <tableColumn id="9" xr3:uid="{00000000-0010-0000-6C00-000009000000}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12"/>
    <tableColumn id="2" xr3:uid="{00000000-0010-0000-0A00-000002000000}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53"/>
    <tableColumn id="11" xr3:uid="{00000000-0010-0000-0A00-00000B000000}" name="Column2" dataDxfId="1202"/>
    <tableColumn id="10" xr3:uid="{00000000-0010-0000-0A00-00000A000000}" name="Column1" dataDxfId="67"/>
    <tableColumn id="12" xr3:uid="{00000000-0010-0000-0A00-00000C000000}" name="Column12" totalsRowFunction="sum" dataDxfId="952"/>
    <tableColumn id="4" xr3:uid="{00000000-0010-0000-0A00-000004000000}" name="الوحده" dataDxfId="951"/>
    <tableColumn id="5" xr3:uid="{00000000-0010-0000-0A00-000005000000}" name="الوزن" dataDxfId="950"/>
    <tableColumn id="6" xr3:uid="{00000000-0010-0000-0A00-000006000000}" name="سعر الكيلو" dataDxfId="1203"/>
    <tableColumn id="7" xr3:uid="{00000000-0010-0000-0A00-000007000000}" name="سعر الشبك " dataDxfId="64">
      <calculatedColumnFormula>Sheet2!B31</calculatedColumnFormula>
    </tableColumn>
    <tableColumn id="8" xr3:uid="{00000000-0010-0000-0A00-000008000000}" name="اجمالي" totalsRowFunction="sum" dataDxfId="132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62" totalsRowDxfId="1232"/>
    <tableColumn id="2" xr3:uid="{00000000-0010-0000-6D00-000002000000}" name="عدد" totalsRowFunction="custom" totalsRowDxfId="1233">
      <totalsRowFormula>(Table80102113[[#Totals],[price]]*1.1)/(BA72*AY72/10000)</totalsRowFormula>
    </tableColumn>
    <tableColumn id="3" xr3:uid="{00000000-0010-0000-6D00-000003000000}" name="طول" dataDxfId="1362" totalsRowDxfId="1363"/>
    <tableColumn id="4" xr3:uid="{00000000-0010-0000-6D00-000004000000}" name="Column2" dataDxfId="1362" totalsRowDxfId="1363"/>
    <tableColumn id="5" xr3:uid="{00000000-0010-0000-6D00-000005000000}" name="wt/m" dataDxfId="1362" totalsRowDxfId="1363"/>
    <tableColumn id="6" xr3:uid="{00000000-0010-0000-6D00-000006000000}" name="price" totalsRowFunction="sum" dataDxfId="1362" totalsRowDxfId="13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3" totalsRowCount="1" headerRowDxfId="14" dataDxfId="1" totalsRowDxfId="12">
  <autoFilter ref="A2:F22" xr:uid="{00000000-0009-0000-0100-000071000000}"/>
  <tableColumns count="6">
    <tableColumn id="1" xr3:uid="{00000000-0010-0000-6E00-000001000000}" name="Column1" totalsRowLabel="Total" dataDxfId="1234" totalsRowDxfId="1364"/>
    <tableColumn id="2" xr3:uid="{00000000-0010-0000-6E00-000002000000}" name="عدد" totalsRowFunction="custom" dataDxfId="1365" totalsRowDxfId="1366">
      <totalsRowFormula>(Table80102114[[#Totals],[price]]*1.1)/(F1*D1/10000)</totalsRowFormula>
    </tableColumn>
    <tableColumn id="3" xr3:uid="{00000000-0010-0000-6E00-000003000000}" name="طول" dataDxfId="1234" totalsRowDxfId="1363"/>
    <tableColumn id="4" xr3:uid="{00000000-0010-0000-6E00-000004000000}" name="Column2" dataDxfId="1367" totalsRowDxfId="1363"/>
    <tableColumn id="5" xr3:uid="{00000000-0010-0000-6E00-000005000000}" name="wt/m" dataDxfId="1367" totalsRowDxfId="1363"/>
    <tableColumn id="6" xr3:uid="{00000000-0010-0000-6E00-000006000000}" name="price" totalsRowFunction="sum" dataDxfId="1367" totalsRowDxfId="136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6" totalsRowCount="1" headerRowDxfId="1235" dataDxfId="1367" totalsRowDxfId="12">
  <autoFilter ref="A75:F95" xr:uid="{00000000-0009-0000-0100-000072000000}"/>
  <tableColumns count="6">
    <tableColumn id="1" xr3:uid="{00000000-0010-0000-6F00-000001000000}" name="Column1" totalsRowLabel="Total" dataDxfId="1367" totalsRowDxfId="1232"/>
    <tableColumn id="2" xr3:uid="{00000000-0010-0000-6F00-000002000000}" name="عدد" totalsRowFunction="custom" dataDxfId="1367" totalsRowDxfId="1233">
      <totalsRowFormula>(Table80102114115[[#Totals],[price]]*1.1)/(F74*D74/10000)</totalsRowFormula>
    </tableColumn>
    <tableColumn id="3" xr3:uid="{00000000-0010-0000-6F00-000003000000}" name="طول" dataDxfId="1367" totalsRowDxfId="1363"/>
    <tableColumn id="4" xr3:uid="{00000000-0010-0000-6F00-000004000000}" name="Column2" dataDxfId="1367" totalsRowDxfId="1363"/>
    <tableColumn id="5" xr3:uid="{00000000-0010-0000-6F00-000005000000}" name="wt/m" dataDxfId="1367" totalsRowDxfId="1363"/>
    <tableColumn id="6" xr3:uid="{00000000-0010-0000-6F00-000006000000}" name="price" totalsRowFunction="sum" dataDxfId="1367" totalsRowDxfId="136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12"/>
    <tableColumn id="2" xr3:uid="{00000000-0010-0000-0B00-000002000000}" name="عدد" dataDxfId="1312">
      <calculatedColumnFormula>IF((F74="الاسكندرية"),0.25,0.1)</calculatedColumnFormula>
    </tableColumn>
    <tableColumn id="3" xr3:uid="{00000000-0010-0000-0B00-000003000000}" name="بيان برجولا رويال" totalsRowLabel="Total" dataDxfId="1312"/>
    <tableColumn id="12" xr3:uid="{00000000-0010-0000-0B00-00000C000000}" name="Column12" totalsRowFunction="sum" dataDxfId="1199"/>
    <tableColumn id="5" xr3:uid="{00000000-0010-0000-0B00-000005000000}" name="Column1" dataDxfId="1312"/>
    <tableColumn id="11" xr3:uid="{00000000-0010-0000-0B00-00000B000000}" name="العرض" dataDxfId="1325"/>
    <tableColumn id="10" xr3:uid="{00000000-0010-0000-0B00-00000A000000}" name="الامتداد" dataDxfId="1316"/>
    <tableColumn id="4" xr3:uid="{00000000-0010-0000-0B00-000004000000}" name="سعر المتر" dataDxfId="1326"/>
    <tableColumn id="6" xr3:uid="{00000000-0010-0000-0B00-000006000000}" name="Column2" dataDxfId="80"/>
    <tableColumn id="7" xr3:uid="{00000000-0010-0000-0B00-000007000000}" name="سعر البرجولا كاملة" dataDxfId="1322">
      <calculatedColumnFormula>(K57)</calculatedColumnFormula>
    </tableColumn>
    <tableColumn id="8" xr3:uid="{00000000-0010-0000-0B00-000008000000}" name="اجمالي" totalsRowFunction="sum" dataDxfId="132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12" totalsRowDxfId="1313"/>
    <tableColumn id="2" xr3:uid="{00000000-0010-0000-0C00-000002000000}" name="عدد" dataDxfId="51" totalsRowDxfId="1313">
      <calculatedColumnFormula>B60</calculatedColumnFormula>
    </tableColumn>
    <tableColumn id="3" xr3:uid="{00000000-0010-0000-0C00-000003000000}" name="بيان" totalsRowLabel="Total" dataDxfId="81" totalsRowDxfId="1313"/>
    <tableColumn id="5" xr3:uid="{00000000-0010-0000-0C00-000005000000}" name="اليومية / الاجرة" dataDxfId="1204" totalsRowDxfId="1313"/>
    <tableColumn id="6" xr3:uid="{00000000-0010-0000-0C00-000006000000}" name="بدل الوجبة" dataDxfId="1205" totalsRowDxfId="1313"/>
    <tableColumn id="11" xr3:uid="{00000000-0010-0000-0C00-00000B000000}" name="موقع العمل" dataDxfId="1202" totalsRowDxfId="1313">
      <calculatedColumnFormula>تسعير!$T$4</calculatedColumnFormula>
    </tableColumn>
    <tableColumn id="10" xr3:uid="{00000000-0010-0000-0C00-00000A000000}" name="شيفت العمل" dataDxfId="1312" totalsRowDxfId="1313"/>
    <tableColumn id="12" xr3:uid="{00000000-0010-0000-0C00-00000C000000}" name="Column12" totalsRowFunction="sum" dataDxfId="1327" totalsRowDxfId="1200">
      <calculatedColumnFormula>SUMIF(Table17[Column1],Table1612[[#This Row],[موقع العمل]],$T$2:$T$20)</calculatedColumnFormula>
    </tableColumn>
    <tableColumn id="4" xr3:uid="{00000000-0010-0000-0C00-000004000000}" name="عدد الايام" dataDxfId="76" totalsRowDxfId="1313"/>
    <tableColumn id="7" xr3:uid="{00000000-0010-0000-0C00-000007000000}" name="اجمالي التكلفة للعامل" dataDxfId="75" totalsRowDxfId="1328">
      <calculatedColumnFormula>Table1612[[#This Row],[Column12]]</calculatedColumnFormula>
    </tableColumn>
    <tableColumn id="8" xr3:uid="{00000000-0010-0000-0C00-000008000000}" name="اجمالي" totalsRowFunction="sum" dataDxfId="1323" totalsRowDxfId="1329">
      <calculatedColumnFormula>B63*J63</calculatedColumnFormula>
    </tableColumn>
    <tableColumn id="9" xr3:uid="{00000000-0010-0000-0C00-000009000000}" name="%" totalsRowFunction="custom" totalsRowDxfId="13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595"/>
    <tableColumn id="2" xr3:uid="{00000000-0010-0000-0D00-000002000000}" name="خارجي" dataDxfId="1206"/>
    <tableColumn id="3" xr3:uid="{00000000-0010-0000-0D00-000003000000}" name="داخلي" dataDxfId="1331"/>
    <tableColumn id="4" xr3:uid="{00000000-0010-0000-0D00-000004000000}" name="بدل الوجبة" dataDxfId="1206"/>
    <tableColumn id="5" xr3:uid="{00000000-0010-0000-0D00-000005000000}" name="دبابة" dataDxfId="1332"/>
    <tableColumn id="6" xr3:uid="{00000000-0010-0000-0D00-000006000000}" name="جامبو" dataDxfId="1332"/>
    <tableColumn id="7" xr3:uid="{00000000-0010-0000-0D00-000007000000}" name="الاقامة" dataDxfId="1332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33"/>
    <tableColumn id="4" xr3:uid="{00000000-0010-0000-0E00-000004000000}" name="Column22" dataDxfId="1333"/>
    <tableColumn id="5" xr3:uid="{00000000-0010-0000-0E00-000005000000}" name="Column23" dataDxfId="1333"/>
    <tableColumn id="3" xr3:uid="{00000000-0010-0000-0E00-000003000000}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202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12"/>
    <tableColumn id="2" xr3:uid="{00000000-0010-0000-0F00-000002000000}" name="عدد" dataDxfId="131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12"/>
    <tableColumn id="11" xr3:uid="{00000000-0010-0000-0F00-00000B000000}" name="Column2" dataDxfId="1312"/>
    <tableColumn id="10" xr3:uid="{00000000-0010-0000-0F00-00000A000000}" name="Column1" dataDxfId="1312"/>
    <tableColumn id="12" xr3:uid="{00000000-0010-0000-0F00-00000C000000}" name="المسطح" totalsRowFunction="sum" dataDxfId="1327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12"/>
    <tableColumn id="5" xr3:uid="{00000000-0010-0000-0F00-000005000000}" name="الوزن" dataDxfId="1312"/>
    <tableColumn id="6" xr3:uid="{00000000-0010-0000-0F00-000006000000}" name="اجمالي الميزان" totalsRowFunction="sum" dataDxfId="1316">
      <calculatedColumnFormula>Table118[[#This Row],[الوزن]]*Table118[[#This Row],[عدد]]</calculatedColumnFormula>
    </tableColumn>
    <tableColumn id="7" xr3:uid="{00000000-0010-0000-0F00-000007000000}" name="سعر الشبك " dataDxfId="1322">
      <calculatedColumnFormula>H6*$H$2/1000</calculatedColumnFormula>
    </tableColumn>
    <tableColumn id="8" xr3:uid="{00000000-0010-0000-0F00-000008000000}" name="اجمالي" totalsRowFunction="sum" dataDxfId="1323">
      <calculatedColumnFormula>B6*J6</calculatedColumnFormula>
    </tableColumn>
    <tableColumn id="9" xr3:uid="{00000000-0010-0000-0F00-000009000000}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12"/>
    <tableColumn id="2" xr3:uid="{00000000-0010-0000-1000-000002000000}" name="عدد" dataDxfId="131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12"/>
    <tableColumn id="11" xr3:uid="{00000000-0010-0000-1000-00000B000000}" name="Column2" dataDxfId="1312"/>
    <tableColumn id="10" xr3:uid="{00000000-0010-0000-1000-00000A000000}" name="Column1" dataDxfId="1312"/>
    <tableColumn id="12" xr3:uid="{00000000-0010-0000-1000-00000C000000}" name="Column12" dataDxfId="1312"/>
    <tableColumn id="4" xr3:uid="{00000000-0010-0000-1000-000004000000}" name="الوحده" totalsRowLabel="total" dataDxfId="1312"/>
    <tableColumn id="5" xr3:uid="{00000000-0010-0000-1000-000005000000}" name="الوزن" dataDxfId="131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12">
      <calculatedColumnFormula>Sheet2!B7</calculatedColumnFormula>
    </tableColumn>
    <tableColumn id="7" xr3:uid="{00000000-0010-0000-1000-000007000000}" name="سعر الشبك " dataDxfId="1322"/>
    <tableColumn id="8" xr3:uid="{00000000-0010-0000-1000-000008000000}" name="اجمالي" totalsRowFunction="sum" dataDxfId="1323">
      <calculatedColumnFormula>B36*Table1319[[#This Row],[سعر الكيلو]]</calculatedColumnFormula>
    </tableColumn>
    <tableColumn id="9" xr3:uid="{00000000-0010-0000-1000-000009000000}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12"/>
    <tableColumn id="2" xr3:uid="{00000000-0010-0000-1100-000002000000}" name="عدد" dataDxfId="131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12"/>
    <tableColumn id="11" xr3:uid="{00000000-0010-0000-1100-00000B000000}" name="Column2" dataDxfId="1312"/>
    <tableColumn id="10" xr3:uid="{00000000-0010-0000-1100-00000A000000}" name="Column1" dataDxfId="1312"/>
    <tableColumn id="12" xr3:uid="{00000000-0010-0000-1100-00000C000000}" name="Column12" totalsRowFunction="sum" dataDxfId="131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12"/>
    <tableColumn id="5" xr3:uid="{00000000-0010-0000-1100-000005000000}" name="الوزن" dataDxfId="1312"/>
    <tableColumn id="6" xr3:uid="{00000000-0010-0000-1100-000006000000}" name="سعر الكيلو" totalsRowFunction="sum" dataDxfId="1316">
      <calculatedColumnFormula>Table1421[[#This Row],[الوزن]]*Table1421[[#This Row],[عدد]]</calculatedColumnFormula>
    </tableColumn>
    <tableColumn id="7" xr3:uid="{00000000-0010-0000-1100-000007000000}" name="سعر الشبك " dataDxfId="1322">
      <calculatedColumnFormula>H13*$I$2/1000</calculatedColumnFormula>
    </tableColumn>
    <tableColumn id="8" xr3:uid="{00000000-0010-0000-1100-000008000000}" name="اجمالي" totalsRowFunction="sum" dataDxfId="1323">
      <calculatedColumnFormula>B13*J13</calculatedColumnFormula>
    </tableColumn>
    <tableColumn id="9" xr3:uid="{00000000-0010-0000-1100-000009000000}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12"/>
    <tableColumn id="2" xr3:uid="{00000000-0010-0000-1200-000002000000}" name="عدد" dataDxfId="131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12"/>
    <tableColumn id="11" xr3:uid="{00000000-0010-0000-1200-00000B000000}" name="Column2" dataDxfId="1312"/>
    <tableColumn id="10" xr3:uid="{00000000-0010-0000-1200-00000A000000}" name="Column1" dataDxfId="1312"/>
    <tableColumn id="12" xr3:uid="{00000000-0010-0000-1200-00000C000000}" name="Column12" dataDxfId="1327"/>
    <tableColumn id="4" xr3:uid="{00000000-0010-0000-1200-000004000000}" name="الوحده" dataDxfId="1312"/>
    <tableColumn id="5" xr3:uid="{00000000-0010-0000-1200-000005000000}" name="الوزن" dataDxfId="1312"/>
    <tableColumn id="6" xr3:uid="{00000000-0010-0000-1200-000006000000}" name="سعر الكيلو" dataDxfId="1312"/>
    <tableColumn id="7" xr3:uid="{00000000-0010-0000-1200-000007000000}" name="سعر الشبك " dataDxfId="1322">
      <calculatedColumnFormula>Sheet2!B22</calculatedColumnFormula>
    </tableColumn>
    <tableColumn id="8" xr3:uid="{00000000-0010-0000-1200-000008000000}" name="اجمالي" totalsRowFunction="sum" dataDxfId="1323">
      <calculatedColumnFormula>B18*J18</calculatedColumnFormula>
    </tableColumn>
    <tableColumn id="9" xr3:uid="{00000000-0010-0000-1200-000009000000}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12"/>
    <tableColumn id="2" xr3:uid="{00000000-0010-0000-1300-000002000000}" name="عدد" totalsRowFunction="count" dataDxfId="1316">
      <calculatedColumnFormula>B30*4</calculatedColumnFormula>
    </tableColumn>
    <tableColumn id="3" xr3:uid="{00000000-0010-0000-1300-000003000000}" name="بيان" totalsRowLabel="Total" dataDxfId="1312"/>
    <tableColumn id="11" xr3:uid="{00000000-0010-0000-1300-00000B000000}" name="Column2" dataDxfId="1312"/>
    <tableColumn id="10" xr3:uid="{00000000-0010-0000-1300-00000A000000}" name="Column1" dataDxfId="1312"/>
    <tableColumn id="12" xr3:uid="{00000000-0010-0000-1300-00000C000000}" name="Column12" totalsRowFunction="sum" dataDxfId="1327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12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16">
      <calculatedColumnFormula>$H$2/1000</calculatedColumnFormula>
    </tableColumn>
    <tableColumn id="7" xr3:uid="{00000000-0010-0000-1300-000007000000}" name="سعر الشبك " dataDxfId="1322">
      <calculatedColumnFormula>H31*$H$2/1000</calculatedColumnFormula>
    </tableColumn>
    <tableColumn id="8" xr3:uid="{00000000-0010-0000-1300-000008000000}" name="اجمالي" totalsRowFunction="sum" dataDxfId="132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201"/>
    <tableColumn id="2" xr3:uid="{00000000-0010-0000-1400-000002000000}" name="المعدل" dataDxfId="1334"/>
    <tableColumn id="3" xr3:uid="{00000000-0010-0000-1400-000003000000}" name="الوحدة" dataDxfId="1334"/>
    <tableColumn id="4" xr3:uid="{00000000-0010-0000-1400-000004000000}" name="Column4" dataDxfId="120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12"/>
    <tableColumn id="2" xr3:uid="{00000000-0010-0000-1500-000002000000}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33"/>
    <tableColumn id="11" xr3:uid="{00000000-0010-0000-1500-00000B000000}" name="Column2" dataDxfId="1333"/>
    <tableColumn id="10" xr3:uid="{00000000-0010-0000-1500-00000A000000}" name="Column1" dataDxfId="1203"/>
    <tableColumn id="12" xr3:uid="{00000000-0010-0000-1500-00000C000000}" name="Column12" totalsRowFunction="sum" dataDxfId="952"/>
    <tableColumn id="4" xr3:uid="{00000000-0010-0000-1500-000004000000}" name="الوحده" dataDxfId="1210"/>
    <tableColumn id="5" xr3:uid="{00000000-0010-0000-1500-000005000000}" name="الوزن" dataDxfId="1211"/>
    <tableColumn id="6" xr3:uid="{00000000-0010-0000-1500-000006000000}" name="سعر الكيلو" dataDxfId="1335"/>
    <tableColumn id="7" xr3:uid="{00000000-0010-0000-1500-000007000000}" name="سعر الشبك " dataDxfId="1212">
      <calculatedColumnFormula>Sheet2!B31</calculatedColumnFormula>
    </tableColumn>
    <tableColumn id="8" xr3:uid="{00000000-0010-0000-1500-000008000000}" name="اجمالي" totalsRowFunction="sum" dataDxfId="132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12"/>
    <tableColumn id="2" xr3:uid="{00000000-0010-0000-1600-000002000000}" name="عدد" dataDxfId="1312">
      <calculatedColumnFormula>IF((F79="الاسكندرية"),0.25,0.1)</calculatedColumnFormula>
    </tableColumn>
    <tableColumn id="3" xr3:uid="{00000000-0010-0000-1600-000003000000}" name="بيان برجولا رويال" totalsRowLabel="Total" dataDxfId="1312"/>
    <tableColumn id="12" xr3:uid="{00000000-0010-0000-1600-00000C000000}" name="Column12" totalsRowFunction="sum" dataDxfId="1327"/>
    <tableColumn id="5" xr3:uid="{00000000-0010-0000-1600-000005000000}" name="Column1" dataDxfId="1312"/>
    <tableColumn id="11" xr3:uid="{00000000-0010-0000-1600-00000B000000}" name="العرض" dataDxfId="1333"/>
    <tableColumn id="10" xr3:uid="{00000000-0010-0000-1600-00000A000000}" name="الامتداد" dataDxfId="1316"/>
    <tableColumn id="4" xr3:uid="{00000000-0010-0000-1600-000004000000}" name="سعر المتر" dataDxfId="1335"/>
    <tableColumn id="6" xr3:uid="{00000000-0010-0000-1600-000006000000}" name="Column2" dataDxfId="1336"/>
    <tableColumn id="7" xr3:uid="{00000000-0010-0000-1600-000007000000}" name="سعر البرجولا كاملة" dataDxfId="1322">
      <calculatedColumnFormula>K58</calculatedColumnFormula>
    </tableColumn>
    <tableColumn id="8" xr3:uid="{00000000-0010-0000-1600-000008000000}" name="اجمالي" totalsRowFunction="sum" dataDxfId="132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12" totalsRowDxfId="1313"/>
    <tableColumn id="2" xr3:uid="{00000000-0010-0000-1700-000002000000}" name="عدد" dataDxfId="1325" totalsRowDxfId="1313">
      <calculatedColumnFormula>B65</calculatedColumnFormula>
    </tableColumn>
    <tableColumn id="3" xr3:uid="{00000000-0010-0000-1700-000003000000}" name="بيان" totalsRowLabel="Total" dataDxfId="1337" totalsRowDxfId="1313"/>
    <tableColumn id="5" xr3:uid="{00000000-0010-0000-1700-000005000000}" name="اليومية / الاجرة" dataDxfId="1204" totalsRowDxfId="1313"/>
    <tableColumn id="6" xr3:uid="{00000000-0010-0000-1700-000006000000}" name="بدل الوجبة" dataDxfId="1205" totalsRowDxfId="1313"/>
    <tableColumn id="11" xr3:uid="{00000000-0010-0000-1700-00000B000000}" name="موقع العمل" dataDxfId="1333" totalsRowDxfId="1313">
      <calculatedColumnFormula>تسعير!$T$24</calculatedColumnFormula>
    </tableColumn>
    <tableColumn id="10" xr3:uid="{00000000-0010-0000-1700-00000A000000}" name="شيفت العمل" dataDxfId="1312" totalsRowDxfId="1313"/>
    <tableColumn id="12" xr3:uid="{00000000-0010-0000-1700-00000C000000}" name="Column12" totalsRowFunction="sum" dataDxfId="1327" totalsRowDxfId="1338">
      <calculatedColumnFormula>SUMIF(Table1731[Column1],Table161229[[#This Row],[موقع العمل]],$T$2:$T$26)</calculatedColumnFormula>
    </tableColumn>
    <tableColumn id="4" xr3:uid="{00000000-0010-0000-1700-000004000000}" name="عدد الايام" dataDxfId="1213" totalsRowDxfId="1313"/>
    <tableColumn id="7" xr3:uid="{00000000-0010-0000-1700-000007000000}" name="اجمالي التكلفة للعامل" dataDxfId="1214" totalsRowDxfId="1328">
      <calculatedColumnFormula>Table161229[[#This Row],[Column12]]</calculatedColumnFormula>
    </tableColumn>
    <tableColumn id="8" xr3:uid="{00000000-0010-0000-1700-000008000000}" name="اجمالي" totalsRowFunction="sum" dataDxfId="1323" totalsRowDxfId="1329">
      <calculatedColumnFormula>B68*J68</calculatedColumnFormula>
    </tableColumn>
    <tableColumn id="9" xr3:uid="{00000000-0010-0000-1700-000009000000}" name="%" totalsRowFunction="custom" totalsRowDxfId="13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33" totalsRowDxfId="1313"/>
    <tableColumn id="2" xr3:uid="{00000000-0010-0000-1800-000002000000}" name="عدد" dataDxfId="1202" totalsRowDxfId="131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33" totalsRowDxfId="1313"/>
    <tableColumn id="11" xr3:uid="{00000000-0010-0000-1800-00000B000000}" name="Column2" dataDxfId="1333" totalsRowDxfId="1313"/>
    <tableColumn id="10" xr3:uid="{00000000-0010-0000-1800-00000A000000}" name="Column1" dataDxfId="1333" totalsRowDxfId="1313"/>
    <tableColumn id="12" xr3:uid="{00000000-0010-0000-1800-00000C000000}" name="Column12" totalsRowFunction="sum" dataDxfId="68" totalsRowDxfId="1338"/>
    <tableColumn id="4" xr3:uid="{00000000-0010-0000-1800-000004000000}" name="الوحده" dataDxfId="1335" totalsRowDxfId="1313"/>
    <tableColumn id="5" xr3:uid="{00000000-0010-0000-1800-000005000000}" name="الوزن" dataDxfId="1333" totalsRowDxfId="1313"/>
    <tableColumn id="6" xr3:uid="{00000000-0010-0000-1800-000006000000}" name="سعر الكيلو" dataDxfId="1333" totalsRowDxfId="1313"/>
    <tableColumn id="7" xr3:uid="{00000000-0010-0000-1800-000007000000}" name="سعر الشبك " dataDxfId="1339" totalsRowDxfId="1328"/>
    <tableColumn id="8" xr3:uid="{00000000-0010-0000-1800-000008000000}" name="اجمالي" totalsRowFunction="sum" dataDxfId="1323" totalsRowDxfId="1329">
      <calculatedColumnFormula>B64*Table161330[[#This Row],[سعر الشبك ]]</calculatedColumnFormula>
    </tableColumn>
    <tableColumn id="9" xr3:uid="{00000000-0010-0000-1800-000009000000}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34"/>
    <tableColumn id="2" xr3:uid="{00000000-0010-0000-1900-000002000000}" name="خارجي" dataDxfId="1334"/>
    <tableColumn id="3" xr3:uid="{00000000-0010-0000-1900-000003000000}" name="داخلي" dataDxfId="1334"/>
    <tableColumn id="4" xr3:uid="{00000000-0010-0000-1900-000004000000}" name="بدل الوجبة" dataDxfId="1334"/>
    <tableColumn id="5" xr3:uid="{00000000-0010-0000-1900-000005000000}" name="دبابة" dataDxfId="1334"/>
    <tableColumn id="6" xr3:uid="{00000000-0010-0000-1900-000006000000}" name="جامبو" dataDxfId="1334"/>
    <tableColumn id="7" xr3:uid="{00000000-0010-0000-1900-000007000000}" name="الاقامة" dataDxfId="133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33"/>
    <tableColumn id="4" xr3:uid="{00000000-0010-0000-1A00-000004000000}" name="Column22" dataDxfId="1333"/>
    <tableColumn id="5" xr3:uid="{00000000-0010-0000-1A00-000005000000}" name="Column23" dataDxfId="1333"/>
    <tableColumn id="3" xr3:uid="{00000000-0010-0000-1A00-000003000000}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4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32" totalsRowDxfId="859"/>
    <tableColumn id="6" xr3:uid="{00000000-0010-0000-1B00-000006000000}" name="الطول بالمتر" dataDxfId="1332" totalsRowDxfId="1216"/>
    <tableColumn id="5" xr3:uid="{00000000-0010-0000-1B00-000005000000}" name="وزن المتر " dataDxfId="1332" totalsRowDxfId="1341"/>
    <tableColumn id="4" xr3:uid="{00000000-0010-0000-1B00-000004000000}" name="سعر الكيلو" dataDxfId="1332" totalsRowDxfId="1216"/>
    <tableColumn id="3" xr3:uid="{00000000-0010-0000-1B00-000003000000}" name="اجمالي عدد " totalsRowFunction="custom" totalsRowDxfId="1342">
      <totalsRowFormula>Table8[[#Totals],[اجمالي التكلفة]]/B1</totalsRowFormula>
    </tableColumn>
    <tableColumn id="2" xr3:uid="{00000000-0010-0000-1B00-000002000000}" name="اجمالي التكلفة" totalsRowFunction="sum" dataDxfId="745" totalsRowDxfId="867">
      <calculatedColumnFormula>B3*D3</calculatedColumnFormula>
    </tableColumn>
    <tableColumn id="9" xr3:uid="{00000000-0010-0000-1B00-000009000000}" name="Column1" dataDxfId="1332" totalsRowDxfId="1342"/>
    <tableColumn id="10" xr3:uid="{00000000-0010-0000-1B00-00000A000000}" name="Column2" dataDxfId="1332" totalsRowDxfId="1342"/>
    <tableColumn id="11" xr3:uid="{00000000-0010-0000-1B00-00000B000000}" name="Column3" dataDxfId="1332" totalsRowDxfId="1342"/>
    <tableColumn id="12" xr3:uid="{00000000-0010-0000-1B00-00000C000000}" name="Column4" dataDxfId="1332" totalsRowDxfId="134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12" totalsRowDxfId="1313"/>
    <tableColumn id="2" xr3:uid="{00000000-0010-0000-1C00-000002000000}" name="عدد" dataDxfId="1316" totalsRowDxfId="1313"/>
    <tableColumn id="3" xr3:uid="{00000000-0010-0000-1C00-000003000000}" name="بيان" totalsRowLabel="Total" dataDxfId="1312" totalsRowDxfId="1313"/>
    <tableColumn id="11" xr3:uid="{00000000-0010-0000-1C00-00000B000000}" name="Column2" dataDxfId="1312" totalsRowDxfId="1313"/>
    <tableColumn id="10" xr3:uid="{00000000-0010-0000-1C00-00000A000000}" name="Column1" dataDxfId="1312" totalsRowDxfId="1313"/>
    <tableColumn id="12" xr3:uid="{00000000-0010-0000-1C00-00000C000000}" name="Column12" dataDxfId="1312" totalsRowDxfId="1313"/>
    <tableColumn id="4" xr3:uid="{00000000-0010-0000-1C00-000004000000}" name="الوحده" totalsRowLabel="total" dataDxfId="1312" totalsRowDxfId="1313"/>
    <tableColumn id="5" xr3:uid="{00000000-0010-0000-1C00-000005000000}" name="الوزن" dataDxfId="1312" totalsRowDxfId="1313"/>
    <tableColumn id="6" xr3:uid="{00000000-0010-0000-1C00-000006000000}" name="سعر الكيلو" dataDxfId="1312" totalsRowDxfId="1313"/>
    <tableColumn id="7" xr3:uid="{00000000-0010-0000-1C00-000007000000}" name="سعر الشبك " dataDxfId="1322" totalsRowDxfId="1328">
      <calculatedColumnFormula>Sheet2!B2</calculatedColumnFormula>
    </tableColumn>
    <tableColumn id="8" xr3:uid="{00000000-0010-0000-1C00-000008000000}" name="اجمالي" totalsRowFunction="sum" dataDxfId="1323" totalsRowDxfId="1329">
      <calculatedColumnFormula>M26*U26</calculatedColumnFormula>
    </tableColumn>
    <tableColumn id="9" xr3:uid="{00000000-0010-0000-1C00-000009000000}" name="%" totalsRowFunction="custom" totalsRowDxfId="13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12"/>
    <tableColumn id="2" xr3:uid="{00000000-0010-0000-1D00-000002000000}" name="عدد" dataDxfId="1316"/>
    <tableColumn id="3" xr3:uid="{00000000-0010-0000-1D00-000003000000}" name="بيان" totalsRowLabel="Total" dataDxfId="1312"/>
    <tableColumn id="11" xr3:uid="{00000000-0010-0000-1D00-00000B000000}" name="Column2" dataDxfId="1312"/>
    <tableColumn id="10" xr3:uid="{00000000-0010-0000-1D00-00000A000000}" name="Column1" dataDxfId="1312"/>
    <tableColumn id="12" xr3:uid="{00000000-0010-0000-1D00-00000C000000}" name="Column12" dataDxfId="1327"/>
    <tableColumn id="4" xr3:uid="{00000000-0010-0000-1D00-000004000000}" name="الوحده" dataDxfId="1312"/>
    <tableColumn id="5" xr3:uid="{00000000-0010-0000-1D00-000005000000}" name="الوزن" dataDxfId="1312"/>
    <tableColumn id="6" xr3:uid="{00000000-0010-0000-1D00-000006000000}" name="سعر الكيلو" dataDxfId="1312"/>
    <tableColumn id="7" xr3:uid="{00000000-0010-0000-1D00-000007000000}" name="سعر الشبك " dataDxfId="1322">
      <calculatedColumnFormula>Sheet2!B24</calculatedColumnFormula>
    </tableColumn>
    <tableColumn id="8" xr3:uid="{00000000-0010-0000-1D00-000008000000}" name="اجمالي" totalsRowFunction="sum" dataDxfId="1323">
      <calculatedColumnFormula>M11*U11</calculatedColumnFormula>
    </tableColumn>
    <tableColumn id="9" xr3:uid="{00000000-0010-0000-1D00-000009000000}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12"/>
    <tableColumn id="2" xr3:uid="{00000000-0010-0000-1E00-000002000000}" name="عدد" totalsRowFunction="count" dataDxfId="1312">
      <calculatedColumnFormula>M20*4</calculatedColumnFormula>
    </tableColumn>
    <tableColumn id="3" xr3:uid="{00000000-0010-0000-1E00-000003000000}" name="بيان" totalsRowLabel="Total" dataDxfId="1312"/>
    <tableColumn id="11" xr3:uid="{00000000-0010-0000-1E00-00000B000000}" name="Column2" dataDxfId="1312"/>
    <tableColumn id="10" xr3:uid="{00000000-0010-0000-1E00-00000A000000}" name="Column1" dataDxfId="1312"/>
    <tableColumn id="12" xr3:uid="{00000000-0010-0000-1E00-00000C000000}" name="Column12" totalsRowFunction="sum" dataDxfId="1327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12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16"/>
    <tableColumn id="7" xr3:uid="{00000000-0010-0000-1E00-000007000000}" name="سعر الشبك " dataDxfId="1322">
      <calculatedColumnFormula>S21*$S$2/1000</calculatedColumnFormula>
    </tableColumn>
    <tableColumn id="8" xr3:uid="{00000000-0010-0000-1E00-000008000000}" name="اجمالي" totalsRowFunction="sum" dataDxfId="132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34"/>
    <tableColumn id="2" xr3:uid="{00000000-0010-0000-1F00-000002000000}" name="المعدل" dataDxfId="1334"/>
    <tableColumn id="3" xr3:uid="{00000000-0010-0000-1F00-000003000000}" name="الوحدة" dataDxfId="1334"/>
    <tableColumn id="4" xr3:uid="{00000000-0010-0000-1F00-000004000000}" name="Column4" dataDxfId="132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34"/>
    <tableColumn id="2" xr3:uid="{00000000-0010-0000-2000-000002000000}" name="Column2" dataDxfId="1201"/>
    <tableColumn id="3" xr3:uid="{00000000-0010-0000-2000-000003000000}" name="Column3" dataDxfId="1334"/>
    <tableColumn id="4" xr3:uid="{00000000-0010-0000-2000-000004000000}" name="Column4" dataDxfId="1334"/>
    <tableColumn id="5" xr3:uid="{00000000-0010-0000-2000-000005000000}" name="Column5" dataDxfId="133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12" totalsRowDxfId="1313"/>
    <tableColumn id="2" xr3:uid="{00000000-0010-0000-2100-000002000000}" name="عدد" dataDxfId="1340" totalsRowDxfId="1313">
      <calculatedColumnFormula>IF((تسعير!$AU$14="بالتات"),0,M52-2)</calculatedColumnFormula>
    </tableColumn>
    <tableColumn id="3" xr3:uid="{00000000-0010-0000-2100-000003000000}" name="بيان" totalsRowLabel="Total" dataDxfId="1343" totalsRowDxfId="1313"/>
    <tableColumn id="5" xr3:uid="{00000000-0010-0000-2100-000005000000}" name="اليومية / الاجرة" dataDxfId="1343" totalsRowDxfId="1313"/>
    <tableColumn id="6" xr3:uid="{00000000-0010-0000-2100-000006000000}" name="بدل الوجبة" dataDxfId="1344" totalsRowDxfId="1313"/>
    <tableColumn id="11" xr3:uid="{00000000-0010-0000-2100-00000B000000}" name="موقع العمل" dataDxfId="1333" totalsRowDxfId="1313">
      <calculatedColumnFormula>تسعير!$AT$4</calculatedColumnFormula>
    </tableColumn>
    <tableColumn id="10" xr3:uid="{00000000-0010-0000-2100-00000A000000}" name="شيفت العمل" dataDxfId="1312" totalsRowDxfId="1313"/>
    <tableColumn id="12" xr3:uid="{00000000-0010-0000-2100-00000C000000}" name="Column12" totalsRowFunction="sum" dataDxfId="1327" totalsRowDxfId="1338">
      <calculatedColumnFormula>SUMIF(Table1769[Column1],Table161267[[#This Row],[موقع العمل]],$AE$2:$AE$8)</calculatedColumnFormula>
    </tableColumn>
    <tableColumn id="4" xr3:uid="{00000000-0010-0000-2100-000004000000}" name="عدد الايام" dataDxfId="1345" totalsRowDxfId="1313"/>
    <tableColumn id="7" xr3:uid="{00000000-0010-0000-2100-000007000000}" name="اجمالي التكلفة للعامل" dataDxfId="1346" totalsRowDxfId="1328">
      <calculatedColumnFormula>Table161267[[#This Row],[Column12]]</calculatedColumnFormula>
    </tableColumn>
    <tableColumn id="8" xr3:uid="{00000000-0010-0000-2100-000008000000}" name="اجمالي" totalsRowFunction="sum" dataDxfId="1323" totalsRowDxfId="1329">
      <calculatedColumnFormula>M55*U55</calculatedColumnFormula>
    </tableColumn>
    <tableColumn id="9" xr3:uid="{00000000-0010-0000-2100-000009000000}" name="%" totalsRowFunction="custom" totalsRowDxfId="13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33"/>
    <tableColumn id="2" xr3:uid="{00000000-0010-0000-2200-000002000000}" name="عدد" dataDxfId="1340">
      <calculatedColumnFormula>IF((Q65="الاسكندرية"),0.25,0.1)</calculatedColumnFormula>
    </tableColumn>
    <tableColumn id="3" xr3:uid="{00000000-0010-0000-2200-000003000000}" name="بيان" totalsRowLabel="Total" dataDxfId="1333"/>
    <tableColumn id="11" xr3:uid="{00000000-0010-0000-2200-00000B000000}" name="Column2" dataDxfId="1333"/>
    <tableColumn id="10" xr3:uid="{00000000-0010-0000-2200-00000A000000}" name="Column1" dataDxfId="1333"/>
    <tableColumn id="12" xr3:uid="{00000000-0010-0000-2200-00000C000000}" name="Column12" totalsRowFunction="sum" dataDxfId="1217"/>
    <tableColumn id="4" xr3:uid="{00000000-0010-0000-2200-000004000000}" name="الوحده" dataDxfId="1335"/>
    <tableColumn id="5" xr3:uid="{00000000-0010-0000-2200-000005000000}" name="الوزن" dataDxfId="1333"/>
    <tableColumn id="6" xr3:uid="{00000000-0010-0000-2200-000006000000}" name="سعر الكيلو" dataDxfId="1333"/>
    <tableColumn id="7" xr3:uid="{00000000-0010-0000-2200-000007000000}" name="سعر الشبك " dataDxfId="1212">
      <calculatedColumnFormula>V48</calculatedColumnFormula>
    </tableColumn>
    <tableColumn id="8" xr3:uid="{00000000-0010-0000-2200-000008000000}" name="اجمالي" totalsRowFunction="sum" dataDxfId="132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34"/>
    <tableColumn id="2" xr3:uid="{00000000-0010-0000-2300-000002000000}" name="خارجي" dataDxfId="1334"/>
    <tableColumn id="3" xr3:uid="{00000000-0010-0000-2300-000003000000}" name="داخلي" dataDxfId="1334"/>
    <tableColumn id="4" xr3:uid="{00000000-0010-0000-2300-000004000000}" name="بدل الوجبة" dataDxfId="1334"/>
    <tableColumn id="5" xr3:uid="{00000000-0010-0000-2300-000005000000}" name="دبابة" dataDxfId="1334"/>
    <tableColumn id="6" xr3:uid="{00000000-0010-0000-2300-000006000000}" name="جامبو" dataDxfId="1334"/>
    <tableColumn id="7" xr3:uid="{00000000-0010-0000-2300-000007000000}" name="الاقامة" dataDxfId="133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33"/>
    <tableColumn id="4" xr3:uid="{00000000-0010-0000-2400-000004000000}" name="Column22" dataDxfId="1333"/>
    <tableColumn id="5" xr3:uid="{00000000-0010-0000-2400-000005000000}" name="Column23" dataDxfId="1333"/>
    <tableColumn id="3" xr3:uid="{00000000-0010-0000-2400-000003000000}" name="Column3" dataDxfId="134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4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12"/>
    <tableColumn id="2" xr3:uid="{00000000-0010-0000-2500-000002000000}" name="عدد" dataDxfId="1312">
      <calculatedColumnFormula>IF((N2="A1"),2,IF((N2="A2"),3,IF((N2="B1"),2.5,IF((N2="B2"),3,0))))</calculatedColumnFormula>
    </tableColumn>
    <tableColumn id="3" xr3:uid="{00000000-0010-0000-2500-000003000000}" name="بيان" totalsRowLabel="Total" dataDxfId="1312"/>
    <tableColumn id="11" xr3:uid="{00000000-0010-0000-2500-00000B000000}" name="Column2" dataDxfId="1312"/>
    <tableColumn id="10" xr3:uid="{00000000-0010-0000-2500-00000A000000}" name="Column1" dataDxfId="1312"/>
    <tableColumn id="12" xr3:uid="{00000000-0010-0000-2500-00000C000000}" name="المسطح" totalsRowFunction="sum" dataDxfId="1327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12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16">
      <calculatedColumnFormula>Table158[[#This Row],[المسطح]]*Table158[[#This Row],[عدد]]</calculatedColumnFormula>
    </tableColumn>
    <tableColumn id="7" xr3:uid="{00000000-0010-0000-2500-000007000000}" name="سعر الشبك " dataDxfId="42">
      <calculatedColumnFormula>S6*$S$2/1000</calculatedColumnFormula>
    </tableColumn>
    <tableColumn id="8" xr3:uid="{00000000-0010-0000-2500-000008000000}" name="اجمالي" totalsRowFunction="sum" dataDxfId="132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32"/>
    <tableColumn id="6" xr3:uid="{00000000-0010-0000-2600-000006000000}" name="الطول بالمتر" dataDxfId="1332"/>
    <tableColumn id="5" xr3:uid="{00000000-0010-0000-2600-000005000000}" name="وزن المتر " dataDxfId="1332"/>
    <tableColumn id="4" xr3:uid="{00000000-0010-0000-2600-000004000000}" name="سعر الكيلو" dataDxfId="1332"/>
    <tableColumn id="3" xr3:uid="{00000000-0010-0000-2600-000003000000}" name="اجمالي عدد " totalsRowFunction="custom">
      <totalsRowFormula>Table823[[#Totals],[اجمالي التكلفة]]/B1</totalsRowFormula>
    </tableColumn>
    <tableColumn id="2" xr3:uid="{00000000-0010-0000-2600-000002000000}" name="اجمالي التكلفة" totalsRowFunction="sum" dataDxfId="1218"/>
    <tableColumn id="9" xr3:uid="{00000000-0010-0000-2600-000009000000}" name="Column1" dataDxfId="1332"/>
    <tableColumn id="10" xr3:uid="{00000000-0010-0000-2600-00000A000000}" name="Column2" dataDxfId="1332"/>
    <tableColumn id="11" xr3:uid="{00000000-0010-0000-2600-00000B000000}" name="Column3" dataDxfId="1332"/>
    <tableColumn id="12" xr3:uid="{00000000-0010-0000-2600-00000C000000}" name="Column4" dataDxfId="133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12" totalsRowDxfId="1313"/>
    <tableColumn id="2" xr3:uid="{00000000-0010-0000-2700-000002000000}" name="عدد" dataDxfId="1316" totalsRowDxfId="1313"/>
    <tableColumn id="3" xr3:uid="{00000000-0010-0000-2700-000003000000}" name="بيان" totalsRowLabel="Total" dataDxfId="1312" totalsRowDxfId="1313"/>
    <tableColumn id="11" xr3:uid="{00000000-0010-0000-2700-00000B000000}" name="Column2" dataDxfId="1312" totalsRowDxfId="1313"/>
    <tableColumn id="10" xr3:uid="{00000000-0010-0000-2700-00000A000000}" name="Column1" dataDxfId="1312" totalsRowDxfId="1313"/>
    <tableColumn id="12" xr3:uid="{00000000-0010-0000-2700-00000C000000}" name="Column12" dataDxfId="1312" totalsRowDxfId="1313"/>
    <tableColumn id="4" xr3:uid="{00000000-0010-0000-2700-000004000000}" name="الوحده" totalsRowLabel="total" dataDxfId="1312" totalsRowDxfId="1313"/>
    <tableColumn id="5" xr3:uid="{00000000-0010-0000-2700-000005000000}" name="الوزن" dataDxfId="1312" totalsRowDxfId="1313"/>
    <tableColumn id="6" xr3:uid="{00000000-0010-0000-2700-000006000000}" name="سعر الكيلو" dataDxfId="1312" totalsRowDxfId="1313"/>
    <tableColumn id="7" xr3:uid="{00000000-0010-0000-2700-000007000000}" name="سعر الشبك " dataDxfId="1322" totalsRowDxfId="1328">
      <calculatedColumnFormula>Sheet2!B2</calculatedColumnFormula>
    </tableColumn>
    <tableColumn id="8" xr3:uid="{00000000-0010-0000-2700-000008000000}" name="اجمالي" totalsRowFunction="sum" dataDxfId="1323" totalsRowDxfId="1329">
      <calculatedColumnFormula>M26*U26</calculatedColumnFormula>
    </tableColumn>
    <tableColumn id="9" xr3:uid="{00000000-0010-0000-2700-000009000000}" name="%" totalsRowFunction="custom" totalsRowDxfId="13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12"/>
    <tableColumn id="2" xr3:uid="{00000000-0010-0000-2800-000002000000}" name="عدد" dataDxfId="1316"/>
    <tableColumn id="3" xr3:uid="{00000000-0010-0000-2800-000003000000}" name="بيان" totalsRowLabel="Total" dataDxfId="1312"/>
    <tableColumn id="11" xr3:uid="{00000000-0010-0000-2800-00000B000000}" name="Column2" dataDxfId="1312"/>
    <tableColumn id="10" xr3:uid="{00000000-0010-0000-2800-00000A000000}" name="Column1" dataDxfId="1312"/>
    <tableColumn id="12" xr3:uid="{00000000-0010-0000-2800-00000C000000}" name="Column12" dataDxfId="1327"/>
    <tableColumn id="4" xr3:uid="{00000000-0010-0000-2800-000004000000}" name="الوحده" dataDxfId="1312"/>
    <tableColumn id="5" xr3:uid="{00000000-0010-0000-2800-000005000000}" name="الوزن" dataDxfId="1312"/>
    <tableColumn id="6" xr3:uid="{00000000-0010-0000-2800-000006000000}" name="سعر الكيلو" dataDxfId="1312"/>
    <tableColumn id="7" xr3:uid="{00000000-0010-0000-2800-000007000000}" name="سعر الشبك " dataDxfId="1322">
      <calculatedColumnFormula>Sheet2!B24</calculatedColumnFormula>
    </tableColumn>
    <tableColumn id="8" xr3:uid="{00000000-0010-0000-2800-000008000000}" name="اجمالي" totalsRowFunction="sum" dataDxfId="1323">
      <calculatedColumnFormula>M11*U11</calculatedColumnFormula>
    </tableColumn>
    <tableColumn id="9" xr3:uid="{00000000-0010-0000-2800-000009000000}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12"/>
    <tableColumn id="2" xr3:uid="{00000000-0010-0000-2900-000002000000}" name="عدد" totalsRowFunction="count" dataDxfId="1312">
      <calculatedColumnFormula>M20*4</calculatedColumnFormula>
    </tableColumn>
    <tableColumn id="3" xr3:uid="{00000000-0010-0000-2900-000003000000}" name="بيان" totalsRowLabel="Total" dataDxfId="1312"/>
    <tableColumn id="11" xr3:uid="{00000000-0010-0000-2900-00000B000000}" name="Column2" dataDxfId="1312"/>
    <tableColumn id="10" xr3:uid="{00000000-0010-0000-2900-00000A000000}" name="Column1" dataDxfId="1312"/>
    <tableColumn id="12" xr3:uid="{00000000-0010-0000-2900-00000C000000}" name="Column12" totalsRowFunction="sum" dataDxfId="1327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12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16"/>
    <tableColumn id="7" xr3:uid="{00000000-0010-0000-2900-000007000000}" name="سعر الشبك " dataDxfId="1322">
      <calculatedColumnFormula>S21*$S$2/1000</calculatedColumnFormula>
    </tableColumn>
    <tableColumn id="8" xr3:uid="{00000000-0010-0000-2900-000008000000}" name="اجمالي" totalsRowFunction="sum" dataDxfId="132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34"/>
    <tableColumn id="2" xr3:uid="{00000000-0010-0000-2A00-000002000000}" name="المعدل" dataDxfId="1334"/>
    <tableColumn id="3" xr3:uid="{00000000-0010-0000-2A00-000003000000}" name="الوحدة" dataDxfId="1334"/>
    <tableColumn id="4" xr3:uid="{00000000-0010-0000-2A00-000004000000}" name="Column4" dataDxfId="134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12" totalsRowDxfId="1313"/>
    <tableColumn id="2" xr3:uid="{00000000-0010-0000-2B00-000002000000}" name="عدد" dataDxfId="1340" totalsRowDxfId="1313">
      <calculatedColumnFormula>IF((تسعير!$BF$14="بالتات"),0,M52-2)</calculatedColumnFormula>
    </tableColumn>
    <tableColumn id="3" xr3:uid="{00000000-0010-0000-2B00-000003000000}" name="بيان" totalsRowLabel="Total" dataDxfId="1343" totalsRowDxfId="1313"/>
    <tableColumn id="5" xr3:uid="{00000000-0010-0000-2B00-000005000000}" name="اليومية / الاجرة" dataDxfId="1343" totalsRowDxfId="1313"/>
    <tableColumn id="6" xr3:uid="{00000000-0010-0000-2B00-000006000000}" name="بدل الوجبة" dataDxfId="1344" totalsRowDxfId="1313"/>
    <tableColumn id="11" xr3:uid="{00000000-0010-0000-2B00-00000B000000}" name="موقع العمل" dataDxfId="1333" totalsRowDxfId="1313">
      <calculatedColumnFormula>تسعير!$BE$4</calculatedColumnFormula>
    </tableColumn>
    <tableColumn id="10" xr3:uid="{00000000-0010-0000-2B00-00000A000000}" name="شيفت العمل" dataDxfId="1312" totalsRowDxfId="1313"/>
    <tableColumn id="12" xr3:uid="{00000000-0010-0000-2B00-00000C000000}" name="Column12" totalsRowFunction="sum" dataDxfId="1327" totalsRowDxfId="1338"/>
    <tableColumn id="4" xr3:uid="{00000000-0010-0000-2B00-000004000000}" name="عدد الايام" dataDxfId="1213" totalsRowDxfId="1313"/>
    <tableColumn id="7" xr3:uid="{00000000-0010-0000-2B00-000007000000}" name="اجمالي التكلفة للعامل" dataDxfId="1214" totalsRowDxfId="1328">
      <calculatedColumnFormula>Table16126744[[#This Row],[Column12]]</calculatedColumnFormula>
    </tableColumn>
    <tableColumn id="8" xr3:uid="{00000000-0010-0000-2B00-000008000000}" name="اجمالي" totalsRowFunction="sum" dataDxfId="1323" totalsRowDxfId="1329">
      <calculatedColumnFormula>M55*U55</calculatedColumnFormula>
    </tableColumn>
    <tableColumn id="9" xr3:uid="{00000000-0010-0000-2B00-000009000000}" name="%" totalsRowFunction="custom" totalsRowDxfId="13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33"/>
    <tableColumn id="2" xr3:uid="{00000000-0010-0000-2C00-000002000000}" name="عدد" dataDxfId="1340">
      <calculatedColumnFormula>IF((Q65="الاسكندرية"),0.25,0.1)</calculatedColumnFormula>
    </tableColumn>
    <tableColumn id="3" xr3:uid="{00000000-0010-0000-2C00-000003000000}" name="بيان" totalsRowLabel="Total" dataDxfId="1333"/>
    <tableColumn id="11" xr3:uid="{00000000-0010-0000-2C00-00000B000000}" name="Column2" dataDxfId="1333"/>
    <tableColumn id="10" xr3:uid="{00000000-0010-0000-2C00-00000A000000}" name="Column1" dataDxfId="1333"/>
    <tableColumn id="12" xr3:uid="{00000000-0010-0000-2C00-00000C000000}" name="Column12" totalsRowFunction="sum" dataDxfId="1349"/>
    <tableColumn id="4" xr3:uid="{00000000-0010-0000-2C00-000004000000}" name="الوحده" dataDxfId="1335"/>
    <tableColumn id="5" xr3:uid="{00000000-0010-0000-2C00-000005000000}" name="الوزن" dataDxfId="1333"/>
    <tableColumn id="6" xr3:uid="{00000000-0010-0000-2C00-000006000000}" name="سعر الكيلو" dataDxfId="1333"/>
    <tableColumn id="7" xr3:uid="{00000000-0010-0000-2C00-000007000000}" name="سعر الشبك " dataDxfId="1350">
      <calculatedColumnFormula>V48</calculatedColumnFormula>
    </tableColumn>
    <tableColumn id="8" xr3:uid="{00000000-0010-0000-2C00-000008000000}" name="اجمالي" totalsRowFunction="sum" dataDxfId="132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32"/>
    <tableColumn id="2" xr3:uid="{00000000-0010-0000-2D00-000002000000}" name="خارجي" dataDxfId="1332"/>
    <tableColumn id="3" xr3:uid="{00000000-0010-0000-2D00-000003000000}" name="داخلي" dataDxfId="1332"/>
    <tableColumn id="4" xr3:uid="{00000000-0010-0000-2D00-000004000000}" name="بدل الوجبة" dataDxfId="1332"/>
    <tableColumn id="5" xr3:uid="{00000000-0010-0000-2D00-000005000000}" name="دبابة" dataDxfId="1332"/>
    <tableColumn id="6" xr3:uid="{00000000-0010-0000-2D00-000006000000}" name="جامبو" dataDxfId="1332"/>
    <tableColumn id="7" xr3:uid="{00000000-0010-0000-2D00-000007000000}" name="الاقامة" dataDxfId="1332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33"/>
    <tableColumn id="4" xr3:uid="{00000000-0010-0000-2E00-000004000000}" name="Column22" dataDxfId="1333"/>
    <tableColumn id="5" xr3:uid="{00000000-0010-0000-2E00-000005000000}" name="Column23" dataDxfId="1333"/>
    <tableColumn id="3" xr3:uid="{00000000-0010-0000-2E00-000003000000}" name="Column3" dataDxfId="1215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4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12"/>
    <tableColumn id="2" xr3:uid="{00000000-0010-0000-2F00-000002000000}" name="عدد" dataDxfId="1312">
      <calculatedColumnFormula>IF((N2="c1"),3,IF((N2="c2"),4,IF((N2="d1"),4,IF((N2="d2"),5,0))))</calculatedColumnFormula>
    </tableColumn>
    <tableColumn id="3" xr3:uid="{00000000-0010-0000-2F00-000003000000}" name="بيان" totalsRowLabel="Total" dataDxfId="1312"/>
    <tableColumn id="11" xr3:uid="{00000000-0010-0000-2F00-00000B000000}" name="Column2" dataDxfId="1312"/>
    <tableColumn id="10" xr3:uid="{00000000-0010-0000-2F00-00000A000000}" name="Column1" dataDxfId="1312"/>
    <tableColumn id="12" xr3:uid="{00000000-0010-0000-2F00-00000C000000}" name="المسطح" totalsRowFunction="sum" dataDxfId="1327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12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16"/>
    <tableColumn id="7" xr3:uid="{00000000-0010-0000-2F00-000007000000}" name="سعر الشبك " dataDxfId="1219">
      <calculatedColumnFormula>S6*$S$2/1000</calculatedColumnFormula>
    </tableColumn>
    <tableColumn id="8" xr3:uid="{00000000-0010-0000-2F00-000008000000}" name="اجمالي" totalsRowFunction="sum" dataDxfId="132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1332"/>
    <tableColumn id="2" xr3:uid="{00000000-0010-0000-3000-000002000000}" name="المقاس" dataDxfId="1332"/>
    <tableColumn id="4" xr3:uid="{00000000-0010-0000-3000-000004000000}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44" totalsRowDxfId="109"/>
    <tableColumn id="2" xr3:uid="{00000000-0010-0000-0400-000002000000}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10" totalsRowDxfId="1311"/>
    <tableColumn id="11" xr3:uid="{00000000-0010-0000-0400-00000B000000}" name="Column2" dataDxfId="1191" totalsRowDxfId="1192"/>
    <tableColumn id="10" xr3:uid="{00000000-0010-0000-0400-00000A000000}" name="Column1" dataDxfId="1312" totalsRowDxfId="1313"/>
    <tableColumn id="12" xr3:uid="{00000000-0010-0000-0400-00000C000000}" name="المسطح" totalsRowFunction="sum" dataDxfId="45" totalsRowDxfId="115">
      <calculatedColumnFormula>(Table1[[#This Row],[Column1]]+Table1[[#This Row],[Column2]])*12*Table1[[#This Row],[عدد]]</calculatedColumnFormula>
    </tableColumn>
    <tableColumn id="4" xr3:uid="{00000000-0010-0000-0400-000004000000}" name="الوحده" dataDxfId="1312" totalsRowDxfId="1313"/>
    <tableColumn id="5" xr3:uid="{00000000-0010-0000-0400-000005000000}" name="الوزن" totalsRowFunction="custom" totalsRowDxfId="1313">
      <totalsRowFormula>(H6*B6)+(H8*B8)+(H7*B7)</totalsRowFormula>
    </tableColumn>
    <tableColumn id="6" xr3:uid="{00000000-0010-0000-0400-000006000000}" name="مسطح" dataDxfId="43" totalsRowDxfId="1313"/>
    <tableColumn id="7" xr3:uid="{00000000-0010-0000-0400-000007000000}" name="سعر الشبك " dataDxfId="95" totalsRowDxfId="107">
      <calculatedColumnFormula>H6*$H$2/1000</calculatedColumnFormula>
    </tableColumn>
    <tableColumn id="8" xr3:uid="{00000000-0010-0000-0400-000008000000}" name="اجمالي" totalsRowFunction="sum" dataDxfId="41" totalsRowDxfId="105">
      <calculatedColumnFormula>B6*J6</calculatedColumnFormula>
    </tableColumn>
    <tableColumn id="9" xr3:uid="{00000000-0010-0000-0400-000009000000}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10"/>
    <tableColumn id="2" xr3:uid="{00000000-0010-0000-3100-000002000000}" name="Column2" dataDxfId="1332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32" totalsRowDxfId="630"/>
    <tableColumn id="2" xr3:uid="{00000000-0010-0000-3200-000002000000}" name="عدد/الشمسية" dataDxfId="606" totalsRowDxfId="626"/>
    <tableColumn id="3" xr3:uid="{00000000-0010-0000-3200-000003000000}" name="سعر الوحدة" dataDxfId="1332" totalsRowDxfId="1220"/>
    <tableColumn id="4" xr3:uid="{00000000-0010-0000-3200-000004000000}" name="قيمة" totalsRowFunction="sum" dataDxfId="1332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32"/>
    <tableColumn id="2" xr3:uid="{00000000-0010-0000-3300-000002000000}" name="امتار عادية" dataDxfId="1332"/>
    <tableColumn id="4" xr3:uid="{00000000-0010-0000-3300-000004000000}" name="امتار single" dataDxfId="1332"/>
    <tableColumn id="6" xr3:uid="{00000000-0010-0000-3300-000006000000}" name="امتار douple" dataDxfId="1332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32"/>
    <tableColumn id="2" xr3:uid="{00000000-0010-0000-3400-000002000000}" name="Column2" dataDxfId="1332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13"/>
    <tableColumn id="2" xr3:uid="{00000000-0010-0000-3600-000002000000}" name="الناتج" dataDxfId="614"/>
    <tableColumn id="3" xr3:uid="{00000000-0010-0000-3600-000003000000}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12"/>
    <tableColumn id="4" xr3:uid="{00000000-0010-0000-3700-000004000000}" name="ميزان" dataDxfId="120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223"/>
    <tableColumn id="2" xr3:uid="{00000000-0010-0000-3800-000002000000}" name="Column2" dataDxfId="1332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32" totalsRowDxfId="1338"/>
    <tableColumn id="2" xr3:uid="{00000000-0010-0000-3900-000002000000}" name="عدد/الشمسية" dataDxfId="1224" totalsRowDxfId="1338"/>
    <tableColumn id="3" xr3:uid="{00000000-0010-0000-3900-000003000000}" name="سعر الوحدة" dataDxfId="1332" totalsRowDxfId="1338"/>
    <tableColumn id="4" xr3:uid="{00000000-0010-0000-3900-000004000000}" name="قيمة" totalsRowFunction="sum" dataDxfId="1332" totalsRowDxfId="133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32"/>
    <tableColumn id="2" xr3:uid="{00000000-0010-0000-3A00-000002000000}" name="امتار عادية" dataDxfId="1332"/>
    <tableColumn id="4" xr3:uid="{00000000-0010-0000-3A00-000004000000}" name="امتار single" dataDxfId="1332"/>
    <tableColumn id="6" xr3:uid="{00000000-0010-0000-3A00-000006000000}" name="امتار douple" dataDxfId="133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12" totalsRowDxfId="1313"/>
    <tableColumn id="2" xr3:uid="{00000000-0010-0000-0500-000002000000}" name="عدد" dataDxfId="1191" totalsRowDxfId="131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12" totalsRowDxfId="1313"/>
    <tableColumn id="11" xr3:uid="{00000000-0010-0000-0500-00000B000000}" name="Column2" dataDxfId="1312" totalsRowDxfId="1313"/>
    <tableColumn id="10" xr3:uid="{00000000-0010-0000-0500-00000A000000}" name="Column1" dataDxfId="1312" totalsRowDxfId="1313"/>
    <tableColumn id="12" xr3:uid="{00000000-0010-0000-0500-00000C000000}" name="Column12" dataDxfId="1312" totalsRowDxfId="1313"/>
    <tableColumn id="4" xr3:uid="{00000000-0010-0000-0500-000004000000}" name="الوحده" totalsRowLabel="total" dataDxfId="1312" totalsRowDxfId="1313"/>
    <tableColumn id="5" xr3:uid="{00000000-0010-0000-0500-000005000000}" name="الوزن" dataDxfId="1312" totalsRowDxfId="1313"/>
    <tableColumn id="6" xr3:uid="{00000000-0010-0000-0500-000006000000}" name="سعر الكيلو" dataDxfId="1312" totalsRowDxfId="1313"/>
    <tableColumn id="7" xr3:uid="{00000000-0010-0000-0500-000007000000}" name="سعر الشبك " dataDxfId="1194" totalsRowDxfId="1195">
      <calculatedColumnFormula>Sheet2!B8</calculatedColumnFormula>
    </tableColumn>
    <tableColumn id="8" xr3:uid="{00000000-0010-0000-0500-000008000000}" name="اجمالي" totalsRowFunction="sum" dataDxfId="1196" totalsRowDxfId="1197">
      <calculatedColumnFormula>B35*J35</calculatedColumnFormula>
    </tableColumn>
    <tableColumn id="9" xr3:uid="{00000000-0010-0000-0500-000009000000}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32"/>
    <tableColumn id="2" xr3:uid="{00000000-0010-0000-3B00-000002000000}" name="Column2" dataDxfId="1332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590"/>
    <tableColumn id="2" xr3:uid="{00000000-0010-0000-3C00-000002000000}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51"/>
    <tableColumn id="2" xr3:uid="{00000000-0010-0000-3D00-000002000000}" name="الناتج" dataDxfId="591"/>
    <tableColumn id="3" xr3:uid="{00000000-0010-0000-3D00-000003000000}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550" totalsRowDxfId="54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54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5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40" totalsRowDxfId="1313">
      <calculatedColumnFormula>I28</calculatedColumnFormula>
    </tableColumn>
    <tableColumn id="3" xr3:uid="{00000000-0010-0000-3F00-000003000000}" name="بيان" totalsRowLabel="Total" dataDxfId="535" totalsRowDxfId="1313"/>
    <tableColumn id="5" xr3:uid="{00000000-0010-0000-3F00-000005000000}" name="اليومية / الاجرة" dataDxfId="1343" totalsRowDxfId="1313"/>
    <tableColumn id="6" xr3:uid="{00000000-0010-0000-3F00-000006000000}" name="بدل الوجبة" dataDxfId="1344" totalsRowDxfId="1313"/>
    <tableColumn id="11" xr3:uid="{00000000-0010-0000-3F00-00000B000000}" name="موقع العمل" dataDxfId="1333" totalsRowDxfId="1313">
      <calculatedColumnFormula>تسعير!$T$45</calculatedColumnFormula>
    </tableColumn>
    <tableColumn id="10" xr3:uid="{00000000-0010-0000-3F00-00000A000000}" name="شيفت العمل" dataDxfId="1312" totalsRowDxfId="1313"/>
    <tableColumn id="12" xr3:uid="{00000000-0010-0000-3F00-00000C000000}" name="Column12" totalsRowFunction="sum" dataDxfId="1327" totalsRowDxfId="1338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53" totalsRowDxfId="1313"/>
    <tableColumn id="7" xr3:uid="{00000000-0010-0000-3F00-000007000000}" name="اجمالي التكلفة للعامل" dataDxfId="1354" totalsRowDxfId="1328">
      <calculatedColumnFormula>Table161243[[#This Row],[Column12]]</calculatedColumnFormula>
    </tableColumn>
    <tableColumn id="8" xr3:uid="{00000000-0010-0000-3F00-000008000000}" name="اجمالي" totalsRowFunction="sum" dataDxfId="1323" totalsRowDxfId="1329">
      <calculatedColumnFormula>I31*Q31</calculatedColumnFormula>
    </tableColumn>
    <tableColumn id="9" xr3:uid="{00000000-0010-0000-3F00-000009000000}" name="%" totalsRowFunction="custom" totalsRowDxfId="13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33"/>
    <tableColumn id="4" xr3:uid="{00000000-0010-0000-4000-000004000000}" name="Column22" dataDxfId="1333"/>
    <tableColumn id="5" xr3:uid="{00000000-0010-0000-4000-000005000000}" name="Column23" dataDxfId="1333"/>
    <tableColumn id="3" xr3:uid="{00000000-0010-0000-4000-000003000000}" name="Column3" dataDxfId="1355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4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550" totalsRowDxfId="54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54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5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40" totalsRowDxfId="1313">
      <calculatedColumnFormula>I61</calculatedColumnFormula>
    </tableColumn>
    <tableColumn id="3" xr3:uid="{00000000-0010-0000-4200-000003000000}" name="بيان" totalsRowLabel="Total" dataDxfId="1229" totalsRowDxfId="1313"/>
    <tableColumn id="5" xr3:uid="{00000000-0010-0000-4200-000005000000}" name="اليومية / الاجرة" dataDxfId="1343" totalsRowDxfId="1313"/>
    <tableColumn id="6" xr3:uid="{00000000-0010-0000-4200-000006000000}" name="بدل الوجبة" dataDxfId="1344" totalsRowDxfId="1313"/>
    <tableColumn id="11" xr3:uid="{00000000-0010-0000-4200-00000B000000}" name="موقع العمل" dataDxfId="1333" totalsRowDxfId="1313">
      <calculatedColumnFormula>تسعير!$T$63</calculatedColumnFormula>
    </tableColumn>
    <tableColumn id="10" xr3:uid="{00000000-0010-0000-4200-00000A000000}" name="شيفت العمل" dataDxfId="1312" totalsRowDxfId="1313"/>
    <tableColumn id="12" xr3:uid="{00000000-0010-0000-4200-00000C000000}" name="Column12" totalsRowFunction="sum" dataDxfId="1327" totalsRowDxfId="1338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53" totalsRowDxfId="1313"/>
    <tableColumn id="7" xr3:uid="{00000000-0010-0000-4200-000007000000}" name="اجمالي التكلفة للعامل" dataDxfId="1354" totalsRowDxfId="1328">
      <calculatedColumnFormula>Table16124360[[#This Row],[Column12]]</calculatedColumnFormula>
    </tableColumn>
    <tableColumn id="8" xr3:uid="{00000000-0010-0000-4200-000008000000}" name="اجمالي" totalsRowFunction="sum" dataDxfId="1323" totalsRowDxfId="1329">
      <calculatedColumnFormula>I64*Q64</calculatedColumnFormula>
    </tableColumn>
    <tableColumn id="9" xr3:uid="{00000000-0010-0000-4200-000009000000}" name="%" totalsRowFunction="custom" totalsRowDxfId="13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33"/>
    <tableColumn id="4" xr3:uid="{00000000-0010-0000-4300-000004000000}" name="Column22" dataDxfId="1333"/>
    <tableColumn id="5" xr3:uid="{00000000-0010-0000-4300-000005000000}" name="Column23" dataDxfId="1333"/>
    <tableColumn id="3" xr3:uid="{00000000-0010-0000-4300-000003000000}" name="Column3" dataDxfId="1355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4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12" totalsRowDxfId="1313"/>
    <tableColumn id="2" xr3:uid="{00000000-0010-0000-4400-000002000000}" name="عدد" dataDxfId="1316" totalsRowDxfId="1313"/>
    <tableColumn id="3" xr3:uid="{00000000-0010-0000-4400-000003000000}" name="بيان" totalsRowLabel="Total" dataDxfId="1312" totalsRowDxfId="1313"/>
    <tableColumn id="11" xr3:uid="{00000000-0010-0000-4400-00000B000000}" name="Column2" dataDxfId="1312" totalsRowDxfId="1313"/>
    <tableColumn id="10" xr3:uid="{00000000-0010-0000-4400-00000A000000}" name="Column1" dataDxfId="1312" totalsRowDxfId="1313"/>
    <tableColumn id="12" xr3:uid="{00000000-0010-0000-4400-00000C000000}" name="Column12" dataDxfId="1312" totalsRowDxfId="1313"/>
    <tableColumn id="4" xr3:uid="{00000000-0010-0000-4400-000004000000}" name="الوحده" totalsRowLabel="total" dataDxfId="1312" totalsRowDxfId="1313"/>
    <tableColumn id="5" xr3:uid="{00000000-0010-0000-4400-000005000000}" name="الوزن" dataDxfId="1312" totalsRowDxfId="1313"/>
    <tableColumn id="6" xr3:uid="{00000000-0010-0000-4400-000006000000}" name="سعر الكيلو" dataDxfId="1312" totalsRowDxfId="1313"/>
    <tableColumn id="7" xr3:uid="{00000000-0010-0000-4400-000007000000}" name="سعر الشبك " dataDxfId="1322" totalsRowDxfId="1328">
      <calculatedColumnFormula>Sheet2!B6</calculatedColumnFormula>
    </tableColumn>
    <tableColumn id="8" xr3:uid="{00000000-0010-0000-4400-000008000000}" name="اجمالي" totalsRowFunction="sum" dataDxfId="1323" totalsRowDxfId="1329">
      <calculatedColumnFormula>M28*U28</calculatedColumnFormula>
    </tableColumn>
    <tableColumn id="9" xr3:uid="{00000000-0010-0000-4400-000009000000}" name="%" totalsRowFunction="custom" totalsRowDxfId="13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12"/>
    <tableColumn id="2" xr3:uid="{00000000-0010-0000-0600-000002000000}" name="عدد" dataDxfId="1312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12"/>
    <tableColumn id="11" xr3:uid="{00000000-0010-0000-0600-00000B000000}" name="Column2" dataDxfId="1312"/>
    <tableColumn id="10" xr3:uid="{00000000-0010-0000-0600-00000A000000}" name="Column1" dataDxfId="1312"/>
    <tableColumn id="12" xr3:uid="{00000000-0010-0000-0600-00000C000000}" name="Column12" totalsRowFunction="sum" dataDxfId="131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12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191">
      <calculatedColumnFormula>Table14[[#This Row],[Column12]]*Table14[[#This Row],[عدد]]</calculatedColumnFormula>
    </tableColumn>
    <tableColumn id="7" xr3:uid="{00000000-0010-0000-0600-000007000000}" name="سعر الشبك " dataDxfId="1314">
      <calculatedColumnFormula>H12*$I$2/1000</calculatedColumnFormula>
    </tableColumn>
    <tableColumn id="8" xr3:uid="{00000000-0010-0000-0600-000008000000}" name="اجمالي" totalsRowFunction="sum" dataDxfId="1315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12"/>
    <tableColumn id="2" xr3:uid="{00000000-0010-0000-4500-000002000000}" name="عدد" dataDxfId="1316"/>
    <tableColumn id="3" xr3:uid="{00000000-0010-0000-4500-000003000000}" name="بيان" totalsRowLabel="Total" dataDxfId="1312"/>
    <tableColumn id="11" xr3:uid="{00000000-0010-0000-4500-00000B000000}" name="Column2" dataDxfId="1312"/>
    <tableColumn id="10" xr3:uid="{00000000-0010-0000-4500-00000A000000}" name="Column1" dataDxfId="1312"/>
    <tableColumn id="12" xr3:uid="{00000000-0010-0000-4500-00000C000000}" name="Column12" dataDxfId="1327"/>
    <tableColumn id="4" xr3:uid="{00000000-0010-0000-4500-000004000000}" name="الوحده" dataDxfId="1312"/>
    <tableColumn id="5" xr3:uid="{00000000-0010-0000-4500-000005000000}" name="الوزن" dataDxfId="1312"/>
    <tableColumn id="6" xr3:uid="{00000000-0010-0000-4500-000006000000}" name="سعر الكيلو" dataDxfId="1312"/>
    <tableColumn id="7" xr3:uid="{00000000-0010-0000-4500-000007000000}" name="سعر الشبك " dataDxfId="1322">
      <calculatedColumnFormula>Sheet2!B26</calculatedColumnFormula>
    </tableColumn>
    <tableColumn id="8" xr3:uid="{00000000-0010-0000-4500-000008000000}" name="اجمالي" totalsRowFunction="sum" dataDxfId="1323">
      <calculatedColumnFormula>M14*U14</calculatedColumnFormula>
    </tableColumn>
    <tableColumn id="9" xr3:uid="{00000000-0010-0000-4500-000009000000}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12"/>
    <tableColumn id="2" xr3:uid="{00000000-0010-0000-4600-000002000000}" name="عدد" totalsRowFunction="count" dataDxfId="1312">
      <calculatedColumnFormula>M20*4</calculatedColumnFormula>
    </tableColumn>
    <tableColumn id="3" xr3:uid="{00000000-0010-0000-4600-000003000000}" name="بيان" totalsRowLabel="Total" dataDxfId="1312"/>
    <tableColumn id="11" xr3:uid="{00000000-0010-0000-4600-00000B000000}" name="Column2" dataDxfId="1312"/>
    <tableColumn id="10" xr3:uid="{00000000-0010-0000-4600-00000A000000}" name="Column1" dataDxfId="1312"/>
    <tableColumn id="12" xr3:uid="{00000000-0010-0000-4600-00000C000000}" name="Column12" totalsRowFunction="sum" dataDxfId="1327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12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16"/>
    <tableColumn id="7" xr3:uid="{00000000-0010-0000-4600-000007000000}" name="سعر الشبك " dataDxfId="1322">
      <calculatedColumnFormula>S22*$S$2/1000</calculatedColumnFormula>
    </tableColumn>
    <tableColumn id="8" xr3:uid="{00000000-0010-0000-4600-000008000000}" name="اجمالي" totalsRowFunction="sum" dataDxfId="132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34"/>
    <tableColumn id="2" xr3:uid="{00000000-0010-0000-4700-000002000000}" name="المعدل" dataDxfId="1334"/>
    <tableColumn id="3" xr3:uid="{00000000-0010-0000-4700-000003000000}" name="الوحدة" dataDxfId="1334"/>
    <tableColumn id="4" xr3:uid="{00000000-0010-0000-4700-000004000000}" name="Column4" dataDxfId="134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34"/>
    <tableColumn id="2" xr3:uid="{00000000-0010-0000-4800-000002000000}" name="Column2" dataDxfId="1348"/>
    <tableColumn id="3" xr3:uid="{00000000-0010-0000-4800-000003000000}" name="Column3" dataDxfId="1334"/>
    <tableColumn id="4" xr3:uid="{00000000-0010-0000-4800-000004000000}" name="Column4" dataDxfId="1334"/>
    <tableColumn id="5" xr3:uid="{00000000-0010-0000-4800-000005000000}" name="Column5" dataDxfId="133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12" totalsRowDxfId="1313"/>
    <tableColumn id="2" xr3:uid="{00000000-0010-0000-4900-000002000000}" name="عدد" dataDxfId="1340" totalsRowDxfId="1313">
      <calculatedColumnFormula>IF((تسعير!$AU$14="بالتات"),0,M49-2)</calculatedColumnFormula>
    </tableColumn>
    <tableColumn id="3" xr3:uid="{00000000-0010-0000-4900-000003000000}" name="بيان" totalsRowLabel="Total" dataDxfId="1343" totalsRowDxfId="1313"/>
    <tableColumn id="5" xr3:uid="{00000000-0010-0000-4900-000005000000}" name="اليومية / الاجرة" dataDxfId="1343" totalsRowDxfId="1313"/>
    <tableColumn id="6" xr3:uid="{00000000-0010-0000-4900-000006000000}" name="بدل الوجبة" dataDxfId="1344" totalsRowDxfId="1313"/>
    <tableColumn id="11" xr3:uid="{00000000-0010-0000-4900-00000B000000}" name="موقع العمل" dataDxfId="1333" totalsRowDxfId="1313">
      <calculatedColumnFormula>تسعير!$AT$24</calculatedColumnFormula>
    </tableColumn>
    <tableColumn id="10" xr3:uid="{00000000-0010-0000-4900-00000A000000}" name="شيفت العمل" dataDxfId="1312" totalsRowDxfId="1313"/>
    <tableColumn id="12" xr3:uid="{00000000-0010-0000-4900-00000C000000}" name="Column12" totalsRowFunction="sum" dataDxfId="1327" totalsRowDxfId="1338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53" totalsRowDxfId="1313"/>
    <tableColumn id="7" xr3:uid="{00000000-0010-0000-4900-000007000000}" name="اجمالي التكلفة للعامل" dataDxfId="1354" totalsRowDxfId="1328">
      <calculatedColumnFormula>Table16126776[[#This Row],[Column12]]</calculatedColumnFormula>
    </tableColumn>
    <tableColumn id="8" xr3:uid="{00000000-0010-0000-4900-000008000000}" name="اجمالي" totalsRowFunction="sum" dataDxfId="1323" totalsRowDxfId="1329">
      <calculatedColumnFormula>M52*U52</calculatedColumnFormula>
    </tableColumn>
    <tableColumn id="9" xr3:uid="{00000000-0010-0000-4900-000009000000}" name="%" totalsRowFunction="custom" totalsRowDxfId="13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33" totalsRowDxfId="1313"/>
    <tableColumn id="2" xr3:uid="{00000000-0010-0000-4A00-000002000000}" name="عدد" dataDxfId="1340" totalsRowDxfId="1313">
      <calculatedColumnFormula>IF((Q63="الاسكندرية"),0.25,0.1)</calculatedColumnFormula>
    </tableColumn>
    <tableColumn id="3" xr3:uid="{00000000-0010-0000-4A00-000003000000}" name="بيان" totalsRowLabel="Total" dataDxfId="1333" totalsRowDxfId="1313"/>
    <tableColumn id="11" xr3:uid="{00000000-0010-0000-4A00-00000B000000}" name="Column2" dataDxfId="1333" totalsRowDxfId="1313"/>
    <tableColumn id="10" xr3:uid="{00000000-0010-0000-4A00-00000A000000}" name="Column1" dataDxfId="1333" totalsRowDxfId="1313"/>
    <tableColumn id="12" xr3:uid="{00000000-0010-0000-4A00-00000C000000}" name="Column12" totalsRowFunction="sum" dataDxfId="1217" totalsRowDxfId="1338"/>
    <tableColumn id="4" xr3:uid="{00000000-0010-0000-4A00-000004000000}" name="الوحده" dataDxfId="1335" totalsRowDxfId="1313"/>
    <tableColumn id="5" xr3:uid="{00000000-0010-0000-4A00-000005000000}" name="الوزن" dataDxfId="1333" totalsRowDxfId="1313"/>
    <tableColumn id="6" xr3:uid="{00000000-0010-0000-4A00-000006000000}" name="سعر الكيلو" dataDxfId="1333" totalsRowDxfId="1313"/>
    <tableColumn id="7" xr3:uid="{00000000-0010-0000-4A00-000007000000}" name="سعر الشبك " dataDxfId="1350" totalsRowDxfId="1328">
      <calculatedColumnFormula>Table80102114[[#Totals],[price]]</calculatedColumnFormula>
    </tableColumn>
    <tableColumn id="8" xr3:uid="{00000000-0010-0000-4A00-000008000000}" name="اجمالي" totalsRowFunction="sum" dataDxfId="1323" totalsRowDxfId="1329">
      <calculatedColumnFormula>M47*Table16136877[[#This Row],[سعر الشبك ]]</calculatedColumnFormula>
    </tableColumn>
    <tableColumn id="9" xr3:uid="{00000000-0010-0000-4A00-000009000000}" name="%" totalsRowFunction="custom" totalsRowDxfId="13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34"/>
    <tableColumn id="2" xr3:uid="{00000000-0010-0000-4B00-000002000000}" name="خارجي" dataDxfId="1334"/>
    <tableColumn id="3" xr3:uid="{00000000-0010-0000-4B00-000003000000}" name="داخلي" dataDxfId="1334"/>
    <tableColumn id="4" xr3:uid="{00000000-0010-0000-4B00-000004000000}" name="بدل الوجبة" dataDxfId="1334"/>
    <tableColumn id="5" xr3:uid="{00000000-0010-0000-4B00-000005000000}" name="دبابة" dataDxfId="1334"/>
    <tableColumn id="6" xr3:uid="{00000000-0010-0000-4B00-000006000000}" name="جامبو" dataDxfId="1334"/>
    <tableColumn id="7" xr3:uid="{00000000-0010-0000-4B00-000007000000}" name="الاقامة" dataDxfId="133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33"/>
    <tableColumn id="4" xr3:uid="{00000000-0010-0000-4C00-000004000000}" name="Column22" dataDxfId="1333"/>
    <tableColumn id="5" xr3:uid="{00000000-0010-0000-4C00-000005000000}" name="Column23" dataDxfId="1333"/>
    <tableColumn id="3" xr3:uid="{00000000-0010-0000-4C00-000003000000}" name="Column3" dataDxfId="1355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4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12"/>
    <tableColumn id="2" xr3:uid="{00000000-0010-0000-4D00-000002000000}" name="عدد" dataDxfId="1312"/>
    <tableColumn id="3" xr3:uid="{00000000-0010-0000-4D00-000003000000}" name="بيان" totalsRowLabel="Total" dataDxfId="1312"/>
    <tableColumn id="11" xr3:uid="{00000000-0010-0000-4D00-00000B000000}" name="Column2" dataDxfId="1312"/>
    <tableColumn id="10" xr3:uid="{00000000-0010-0000-4D00-00000A000000}" name="Column1" dataDxfId="1312"/>
    <tableColumn id="12" xr3:uid="{00000000-0010-0000-4D00-00000C000000}" name="المسطح" totalsRowFunction="sum" dataDxfId="1327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12"/>
    <tableColumn id="5" xr3:uid="{00000000-0010-0000-4D00-000005000000}" name="الوزن" totalsRowFunction="custom">
      <totalsRowFormula>(S6*M6)+(S7*M7)+(M8*S8)+(S9*M9)</totalsRowFormula>
    </tableColumn>
    <tableColumn id="6" xr3:uid="{00000000-0010-0000-4D00-000006000000}" name="اجمالي المسطح" totalsRowFunction="sum" dataDxfId="1316">
      <calculatedColumnFormula>Table15880[[#This Row],[المسطح]]*Table15880[[#This Row],[عدد]]</calculatedColumnFormula>
    </tableColumn>
    <tableColumn id="7" xr3:uid="{00000000-0010-0000-4D00-000007000000}" name="سعر الشبك " dataDxfId="1357">
      <calculatedColumnFormula>S6*$S$2/1000</calculatedColumnFormula>
    </tableColumn>
    <tableColumn id="8" xr3:uid="{00000000-0010-0000-4D00-000008000000}" name="اجمالي" totalsRowFunction="sum" dataDxfId="1323">
      <calculatedColumnFormula>M6*U6</calculatedColumnFormula>
    </tableColumn>
    <tableColumn id="9" xr3:uid="{00000000-0010-0000-4D00-000009000000}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12" totalsRowDxfId="1313"/>
    <tableColumn id="2" xr3:uid="{00000000-0010-0000-4E00-000002000000}" name="عدد" dataDxfId="1316" totalsRowDxfId="131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12" totalsRowDxfId="1313"/>
    <tableColumn id="11" xr3:uid="{00000000-0010-0000-4E00-00000B000000}" name="Column2" dataDxfId="1312" totalsRowDxfId="1313"/>
    <tableColumn id="10" xr3:uid="{00000000-0010-0000-4E00-00000A000000}" name="Column1" dataDxfId="1312" totalsRowDxfId="1313"/>
    <tableColumn id="12" xr3:uid="{00000000-0010-0000-4E00-00000C000000}" name="Column12" dataDxfId="1312" totalsRowDxfId="1313"/>
    <tableColumn id="4" xr3:uid="{00000000-0010-0000-4E00-000004000000}" name="الوحده" totalsRowLabel="total" dataDxfId="1312" totalsRowDxfId="1313"/>
    <tableColumn id="5" xr3:uid="{00000000-0010-0000-4E00-000005000000}" name="الوزن" dataDxfId="1312" totalsRowDxfId="1313"/>
    <tableColumn id="6" xr3:uid="{00000000-0010-0000-4E00-000006000000}" name="سعر الكيلو" dataDxfId="1312" totalsRowDxfId="1313"/>
    <tableColumn id="7" xr3:uid="{00000000-0010-0000-4E00-000007000000}" name="سعر الشبك " dataDxfId="1322" totalsRowDxfId="1328">
      <calculatedColumnFormula>Sheet2!B6</calculatedColumnFormula>
    </tableColumn>
    <tableColumn id="8" xr3:uid="{00000000-0010-0000-4E00-000008000000}" name="اجمالي" totalsRowFunction="sum" dataDxfId="1323" totalsRowDxfId="1329">
      <calculatedColumnFormula>M99*U100</calculatedColumnFormula>
    </tableColumn>
    <tableColumn id="9" xr3:uid="{00000000-0010-0000-4E00-000009000000}" name="%" totalsRowFunction="custom" totalsRowDxfId="13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12" totalsRowDxfId="1313"/>
    <tableColumn id="2" xr3:uid="{00000000-0010-0000-0700-000002000000}" name="عدد" dataDxfId="1316" totalsRowDxfId="1313"/>
    <tableColumn id="3" xr3:uid="{00000000-0010-0000-0700-000003000000}" name="بيان" totalsRowLabel="Total" dataDxfId="1312" totalsRowDxfId="1313"/>
    <tableColumn id="11" xr3:uid="{00000000-0010-0000-0700-00000B000000}" name="Column2" dataDxfId="1312" totalsRowDxfId="1313"/>
    <tableColumn id="10" xr3:uid="{00000000-0010-0000-0700-00000A000000}" name="Column1" dataDxfId="1312" totalsRowDxfId="1313"/>
    <tableColumn id="12" xr3:uid="{00000000-0010-0000-0700-00000C000000}" name="Column12" dataDxfId="1199" totalsRowDxfId="1200"/>
    <tableColumn id="4" xr3:uid="{00000000-0010-0000-0700-000004000000}" name="الوحده" dataDxfId="1312" totalsRowDxfId="1313"/>
    <tableColumn id="5" xr3:uid="{00000000-0010-0000-0700-000005000000}" name="الوزن" dataDxfId="1312" totalsRowDxfId="1313"/>
    <tableColumn id="6" xr3:uid="{00000000-0010-0000-0700-000006000000}" name="سعر الكيلو" dataDxfId="1312" totalsRowDxfId="1313"/>
    <tableColumn id="7" xr3:uid="{00000000-0010-0000-0700-000007000000}" name="سعر الشبك " dataDxfId="1194" totalsRowDxfId="1317">
      <calculatedColumnFormula>Sheet2!B22</calculatedColumnFormula>
    </tableColumn>
    <tableColumn id="8" xr3:uid="{00000000-0010-0000-0700-000008000000}" name="اجمالي" totalsRowFunction="sum" dataDxfId="1196" totalsRowDxfId="1318">
      <calculatedColumnFormula>B17*J17</calculatedColumnFormula>
    </tableColumn>
    <tableColumn id="9" xr3:uid="{00000000-0010-0000-0700-000009000000}" name="%" totalsRowFunction="custom" totalsRowDxfId="131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12"/>
    <tableColumn id="2" xr3:uid="{00000000-0010-0000-4F00-000002000000}" name="عدد" dataDxfId="1316">
      <calculatedColumnFormula>IF((I70="بالتات"),0,4)</calculatedColumnFormula>
    </tableColumn>
    <tableColumn id="3" xr3:uid="{00000000-0010-0000-4F00-000003000000}" name="بيان" totalsRowLabel="Total" dataDxfId="1312"/>
    <tableColumn id="11" xr3:uid="{00000000-0010-0000-4F00-00000B000000}" name="Column2" dataDxfId="1312"/>
    <tableColumn id="10" xr3:uid="{00000000-0010-0000-4F00-00000A000000}" name="Column1" dataDxfId="1312"/>
    <tableColumn id="12" xr3:uid="{00000000-0010-0000-4F00-00000C000000}" name="Column12" dataDxfId="1327"/>
    <tableColumn id="4" xr3:uid="{00000000-0010-0000-4F00-000004000000}" name="الوحده" dataDxfId="1312"/>
    <tableColumn id="5" xr3:uid="{00000000-0010-0000-4F00-000005000000}" name="الوزن" dataDxfId="1312"/>
    <tableColumn id="6" xr3:uid="{00000000-0010-0000-4F00-000006000000}" name="سعر الكيلو" dataDxfId="1312"/>
    <tableColumn id="7" xr3:uid="{00000000-0010-0000-4F00-000007000000}" name="سعر الشبك " dataDxfId="1322">
      <calculatedColumnFormula>Sheet2!B26</calculatedColumnFormula>
    </tableColumn>
    <tableColumn id="8" xr3:uid="{00000000-0010-0000-4F00-000008000000}" name="اجمالي" totalsRowFunction="sum" dataDxfId="1323">
      <calculatedColumnFormula>M85*U85</calculatedColumnFormula>
    </tableColumn>
    <tableColumn id="9" xr3:uid="{00000000-0010-0000-4F00-000009000000}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12"/>
    <tableColumn id="2" xr3:uid="{00000000-0010-0000-5000-000002000000}" name="عدد" totalsRowFunction="sum" dataDxfId="1312">
      <calculatedColumnFormula>M91*4</calculatedColumnFormula>
    </tableColumn>
    <tableColumn id="3" xr3:uid="{00000000-0010-0000-5000-000003000000}" name="بيان" totalsRowLabel="Total" dataDxfId="1312"/>
    <tableColumn id="11" xr3:uid="{00000000-0010-0000-5000-00000B000000}" name="Column2" dataDxfId="1312"/>
    <tableColumn id="10" xr3:uid="{00000000-0010-0000-5000-00000A000000}" name="Column1" dataDxfId="1312"/>
    <tableColumn id="12" xr3:uid="{00000000-0010-0000-5000-00000C000000}" name="Column12" totalsRowFunction="sum" dataDxfId="1327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12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16"/>
    <tableColumn id="7" xr3:uid="{00000000-0010-0000-5000-000007000000}" name="سعر الشبك " dataDxfId="1322">
      <calculatedColumnFormula>S93*$S$2/1000</calculatedColumnFormula>
    </tableColumn>
    <tableColumn id="8" xr3:uid="{00000000-0010-0000-5000-000008000000}" name="اجمالي" totalsRowFunction="sum" dataDxfId="132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34"/>
    <tableColumn id="2" xr3:uid="{00000000-0010-0000-5100-000002000000}" name="المعدل" dataDxfId="1334"/>
    <tableColumn id="3" xr3:uid="{00000000-0010-0000-5100-000003000000}" name="الوحدة" dataDxfId="1334"/>
    <tableColumn id="4" xr3:uid="{00000000-0010-0000-5100-000004000000}" name="Column4" dataDxfId="134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34"/>
    <tableColumn id="2" xr3:uid="{00000000-0010-0000-5200-000002000000}" name="Column2" dataDxfId="1348"/>
    <tableColumn id="3" xr3:uid="{00000000-0010-0000-5200-000003000000}" name="Column3" dataDxfId="1334"/>
    <tableColumn id="4" xr3:uid="{00000000-0010-0000-5200-000004000000}" name="Column4" dataDxfId="1334"/>
    <tableColumn id="5" xr3:uid="{00000000-0010-0000-5200-000005000000}" name="Column5" dataDxfId="133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12" totalsRowDxfId="1313"/>
    <tableColumn id="2" xr3:uid="{00000000-0010-0000-5300-000002000000}" name="عدد" dataDxfId="1340" totalsRowDxfId="1313">
      <calculatedColumnFormula>IF((تسعير!$AU$14="بالتات"),0,M120-2)</calculatedColumnFormula>
    </tableColumn>
    <tableColumn id="3" xr3:uid="{00000000-0010-0000-5300-000003000000}" name="بيان" totalsRowLabel="Total" dataDxfId="1343" totalsRowDxfId="1313"/>
    <tableColumn id="5" xr3:uid="{00000000-0010-0000-5300-000005000000}" name="اليومية / الاجرة" dataDxfId="1343" totalsRowDxfId="1313"/>
    <tableColumn id="6" xr3:uid="{00000000-0010-0000-5300-000006000000}" name="بدل الوجبة" dataDxfId="1344" totalsRowDxfId="1313"/>
    <tableColumn id="11" xr3:uid="{00000000-0010-0000-5300-00000B000000}" name="موقع العمل" dataDxfId="1333" totalsRowDxfId="1313">
      <calculatedColumnFormula>تسعير!$AT$44</calculatedColumnFormula>
    </tableColumn>
    <tableColumn id="10" xr3:uid="{00000000-0010-0000-5300-00000A000000}" name="شيفت العمل" dataDxfId="1312" totalsRowDxfId="1313"/>
    <tableColumn id="12" xr3:uid="{00000000-0010-0000-5300-00000C000000}" name="Column12" totalsRowFunction="sum" dataDxfId="1327" totalsRowDxfId="1338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53" totalsRowDxfId="1313"/>
    <tableColumn id="7" xr3:uid="{00000000-0010-0000-5300-000007000000}" name="اجمالي التكلفة للعامل" dataDxfId="1354" totalsRowDxfId="1328">
      <calculatedColumnFormula>Table1612677697[[#This Row],[Column12]]</calculatedColumnFormula>
    </tableColumn>
    <tableColumn id="8" xr3:uid="{00000000-0010-0000-5300-000008000000}" name="اجمالي" totalsRowFunction="sum" dataDxfId="1323" totalsRowDxfId="1329">
      <calculatedColumnFormula>M123*U123</calculatedColumnFormula>
    </tableColumn>
    <tableColumn id="9" xr3:uid="{00000000-0010-0000-5300-000009000000}" name="%" totalsRowFunction="custom" totalsRowDxfId="13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33" totalsRowDxfId="1313"/>
    <tableColumn id="2" xr3:uid="{00000000-0010-0000-5400-000002000000}" name="عدد" dataDxfId="1340" totalsRowDxfId="1313">
      <calculatedColumnFormula>IF((Q134="الاسكندرية"),0.25,0.1)</calculatedColumnFormula>
    </tableColumn>
    <tableColumn id="3" xr3:uid="{00000000-0010-0000-5400-000003000000}" name="بيان" totalsRowLabel="Total" dataDxfId="1333" totalsRowDxfId="1313"/>
    <tableColumn id="11" xr3:uid="{00000000-0010-0000-5400-00000B000000}" name="Column2" dataDxfId="1333" totalsRowDxfId="1313"/>
    <tableColumn id="10" xr3:uid="{00000000-0010-0000-5400-00000A000000}" name="Column1" dataDxfId="1333" totalsRowDxfId="1313"/>
    <tableColumn id="12" xr3:uid="{00000000-0010-0000-5400-00000C000000}" name="Column12" totalsRowFunction="sum" dataDxfId="1358" totalsRowDxfId="1338"/>
    <tableColumn id="4" xr3:uid="{00000000-0010-0000-5400-000004000000}" name="الوحده" dataDxfId="1335" totalsRowDxfId="1313"/>
    <tableColumn id="5" xr3:uid="{00000000-0010-0000-5400-000005000000}" name="الوزن" dataDxfId="1333" totalsRowDxfId="1313"/>
    <tableColumn id="6" xr3:uid="{00000000-0010-0000-5400-000006000000}" name="سعر الكيلو" dataDxfId="1333" totalsRowDxfId="1313"/>
    <tableColumn id="7" xr3:uid="{00000000-0010-0000-5400-000007000000}" name="سعر الشبك " dataDxfId="1350" totalsRowDxfId="1328">
      <calculatedColumnFormula>F95</calculatedColumnFormula>
    </tableColumn>
    <tableColumn id="8" xr3:uid="{00000000-0010-0000-5400-000008000000}" name="اجمالي" totalsRowFunction="sum" dataDxfId="1323" totalsRowDxfId="1329">
      <calculatedColumnFormula>M118*Table1613687798[[#This Row],[سعر الشبك ]]</calculatedColumnFormula>
    </tableColumn>
    <tableColumn id="9" xr3:uid="{00000000-0010-0000-5400-000009000000}" name="%" totalsRowFunction="custom" totalsRowDxfId="13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34"/>
    <tableColumn id="2" xr3:uid="{00000000-0010-0000-5500-000002000000}" name="خارجي" dataDxfId="1334"/>
    <tableColumn id="3" xr3:uid="{00000000-0010-0000-5500-000003000000}" name="داخلي" dataDxfId="1334"/>
    <tableColumn id="4" xr3:uid="{00000000-0010-0000-5500-000004000000}" name="بدل الوجبة" dataDxfId="1334"/>
    <tableColumn id="5" xr3:uid="{00000000-0010-0000-5500-000005000000}" name="دبابة" dataDxfId="1334"/>
    <tableColumn id="6" xr3:uid="{00000000-0010-0000-5500-000006000000}" name="جامبو" dataDxfId="1334"/>
    <tableColumn id="7" xr3:uid="{00000000-0010-0000-5500-000007000000}" name="الاقامة" dataDxfId="133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33"/>
    <tableColumn id="4" xr3:uid="{00000000-0010-0000-5600-000004000000}" name="Column22" dataDxfId="1333"/>
    <tableColumn id="5" xr3:uid="{00000000-0010-0000-5600-000005000000}" name="Column23" dataDxfId="1333"/>
    <tableColumn id="3" xr3:uid="{00000000-0010-0000-5600-000003000000}" name="Column3" dataDxfId="1355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4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12"/>
    <tableColumn id="2" xr3:uid="{00000000-0010-0000-5700-000002000000}" name="عدد" dataDxfId="131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12"/>
    <tableColumn id="11" xr3:uid="{00000000-0010-0000-5700-00000B000000}" name="Column2" dataDxfId="1312"/>
    <tableColumn id="10" xr3:uid="{00000000-0010-0000-5700-00000A000000}" name="Column1" dataDxfId="1312"/>
    <tableColumn id="12" xr3:uid="{00000000-0010-0000-5700-00000C000000}" name="المسطح" totalsRowFunction="sum" dataDxfId="1327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12"/>
    <tableColumn id="5" xr3:uid="{00000000-0010-0000-5700-000005000000}" name="الوزن" totalsRowFunction="custom">
      <totalsRowFormula>(S77*M77)+(S78*M78)+(M79*S79)+(S80*M80)</totalsRowFormula>
    </tableColumn>
    <tableColumn id="6" xr3:uid="{00000000-0010-0000-5700-000006000000}" name="اجمالي المسطح" totalsRowFunction="sum" dataDxfId="1316">
      <calculatedColumnFormula>Table15880101[[#This Row],[المسطح]]*Table15880101[[#This Row],[عدد]]</calculatedColumnFormula>
    </tableColumn>
    <tableColumn id="7" xr3:uid="{00000000-0010-0000-5700-000007000000}" name="سعر الشبك " dataDxfId="1219">
      <calculatedColumnFormula>S77*$S$2/1000</calculatedColumnFormula>
    </tableColumn>
    <tableColumn id="8" xr3:uid="{00000000-0010-0000-5700-000008000000}" name="اجمالي" totalsRowFunction="sum" dataDxfId="1323">
      <calculatedColumnFormula>M77*U77</calculatedColumnFormula>
    </tableColumn>
    <tableColumn id="9" xr3:uid="{00000000-0010-0000-5700-000009000000}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12" totalsRowDxfId="1313"/>
    <tableColumn id="2" xr3:uid="{00000000-0010-0000-5800-000002000000}" name="عدد" dataDxfId="1316" totalsRowDxfId="1313"/>
    <tableColumn id="3" xr3:uid="{00000000-0010-0000-5800-000003000000}" name="بيان" totalsRowLabel="Total" dataDxfId="1312" totalsRowDxfId="1313"/>
    <tableColumn id="11" xr3:uid="{00000000-0010-0000-5800-00000B000000}" name="Column2" dataDxfId="1312" totalsRowDxfId="1313"/>
    <tableColumn id="10" xr3:uid="{00000000-0010-0000-5800-00000A000000}" name="Column1" dataDxfId="1312" totalsRowDxfId="1313"/>
    <tableColumn id="12" xr3:uid="{00000000-0010-0000-5800-00000C000000}" name="Column12" dataDxfId="1312" totalsRowDxfId="1313"/>
    <tableColumn id="4" xr3:uid="{00000000-0010-0000-5800-000004000000}" name="الوحده" totalsRowLabel="total" dataDxfId="1312" totalsRowDxfId="1313"/>
    <tableColumn id="5" xr3:uid="{00000000-0010-0000-5800-000005000000}" name="الوزن" dataDxfId="1312" totalsRowDxfId="1313"/>
    <tableColumn id="6" xr3:uid="{00000000-0010-0000-5800-000006000000}" name="سعر الكيلو" dataDxfId="1312" totalsRowDxfId="1313"/>
    <tableColumn id="7" xr3:uid="{00000000-0010-0000-5800-000007000000}" name="سعر الشبك " dataDxfId="1322" totalsRowDxfId="1328">
      <calculatedColumnFormula>Sheet2!AW6</calculatedColumnFormula>
    </tableColumn>
    <tableColumn id="8" xr3:uid="{00000000-0010-0000-5800-000008000000}" name="اجمالي" totalsRowFunction="sum" dataDxfId="1323" totalsRowDxfId="1329">
      <calculatedColumnFormula>BH28*BP28</calculatedColumnFormula>
    </tableColumn>
    <tableColumn id="9" xr3:uid="{00000000-0010-0000-5800-000009000000}" name="%" totalsRowFunction="custom" totalsRowDxfId="13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12" totalsRowDxfId="1313"/>
    <tableColumn id="2" xr3:uid="{00000000-0010-0000-0800-000002000000}" name="عدد" totalsRowFunction="count" dataDxfId="1312" totalsRowDxfId="1313">
      <calculatedColumnFormula>B29*4</calculatedColumnFormula>
    </tableColumn>
    <tableColumn id="3" xr3:uid="{00000000-0010-0000-0800-000003000000}" name="بيان" totalsRowLabel="Total" dataDxfId="1312" totalsRowDxfId="1313"/>
    <tableColumn id="11" xr3:uid="{00000000-0010-0000-0800-00000B000000}" name="Column2" dataDxfId="1312" totalsRowDxfId="1313"/>
    <tableColumn id="10" xr3:uid="{00000000-0010-0000-0800-00000A000000}" name="Column1" dataDxfId="1312" totalsRowDxfId="1313"/>
    <tableColumn id="12" xr3:uid="{00000000-0010-0000-0800-00000C000000}" name="Column12" totalsRowFunction="sum" dataDxfId="1320" totalsRowDxfId="1321">
      <calculatedColumnFormula>(Table16[[#This Row],[Column1]]*Table16[[#This Row],[Column2]])*Table16[[#This Row],[عدد]]</calculatedColumnFormula>
    </tableColumn>
    <tableColumn id="4" xr3:uid="{00000000-0010-0000-0800-000004000000}" name="الوحده" dataDxfId="1312" totalsRowDxfId="1313"/>
    <tableColumn id="5" xr3:uid="{00000000-0010-0000-0800-000005000000}" name="الوزن" totalsRowFunction="custom" totalsRowDxfId="1313">
      <totalsRowFormula>H30*B30+H31*B31</totalsRowFormula>
    </tableColumn>
    <tableColumn id="6" xr3:uid="{00000000-0010-0000-0800-000006000000}" name="Column3" dataDxfId="1316" totalsRowDxfId="1313"/>
    <tableColumn id="7" xr3:uid="{00000000-0010-0000-0800-000007000000}" name="سعر الشبك " dataDxfId="1322" totalsRowDxfId="1195">
      <calculatedColumnFormula>H30*$H$2/1000</calculatedColumnFormula>
    </tableColumn>
    <tableColumn id="8" xr3:uid="{00000000-0010-0000-0800-000008000000}" name="اجمالي" totalsRowFunction="sum" dataDxfId="1323" totalsRowDxfId="1197">
      <calculatedColumnFormula>B30*J30</calculatedColumnFormula>
    </tableColumn>
    <tableColumn id="9" xr3:uid="{00000000-0010-0000-0800-000009000000}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12" totalsRowDxfId="1313"/>
    <tableColumn id="2" xr3:uid="{00000000-0010-0000-5900-000002000000}" name="عدد" dataDxfId="1316" totalsRowDxfId="1313"/>
    <tableColumn id="3" xr3:uid="{00000000-0010-0000-5900-000003000000}" name="بيان" totalsRowLabel="Total" dataDxfId="1312" totalsRowDxfId="1313"/>
    <tableColumn id="11" xr3:uid="{00000000-0010-0000-5900-00000B000000}" name="Column2" dataDxfId="1312" totalsRowDxfId="1313"/>
    <tableColumn id="10" xr3:uid="{00000000-0010-0000-5900-00000A000000}" name="Column1" dataDxfId="1312" totalsRowDxfId="1313"/>
    <tableColumn id="12" xr3:uid="{00000000-0010-0000-5900-00000C000000}" name="Column12" dataDxfId="1327" totalsRowDxfId="1338"/>
    <tableColumn id="4" xr3:uid="{00000000-0010-0000-5900-000004000000}" name="الوحده" dataDxfId="1312" totalsRowDxfId="1313"/>
    <tableColumn id="5" xr3:uid="{00000000-0010-0000-5900-000005000000}" name="الوزن" dataDxfId="1312" totalsRowDxfId="1313"/>
    <tableColumn id="6" xr3:uid="{00000000-0010-0000-5900-000006000000}" name="سعر الكيلو" dataDxfId="1312" totalsRowDxfId="1313"/>
    <tableColumn id="7" xr3:uid="{00000000-0010-0000-5900-000007000000}" name="سعر الشبك " dataDxfId="1322" totalsRowDxfId="1328">
      <calculatedColumnFormula>Sheet2!AW26</calculatedColumnFormula>
    </tableColumn>
    <tableColumn id="8" xr3:uid="{00000000-0010-0000-5900-000008000000}" name="اجمالي" totalsRowFunction="sum" dataDxfId="1323" totalsRowDxfId="1329">
      <calculatedColumnFormula>BH14*BP14</calculatedColumnFormula>
    </tableColumn>
    <tableColumn id="9" xr3:uid="{00000000-0010-0000-5900-000009000000}" name="%" totalsRowFunction="custom" totalsRowDxfId="13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12"/>
    <tableColumn id="2" xr3:uid="{00000000-0010-0000-5A00-000002000000}" name="عدد" totalsRowFunction="count" dataDxfId="1312">
      <calculatedColumnFormula>BH20*4</calculatedColumnFormula>
    </tableColumn>
    <tableColumn id="3" xr3:uid="{00000000-0010-0000-5A00-000003000000}" name="بيان" totalsRowLabel="Total" dataDxfId="1312"/>
    <tableColumn id="11" xr3:uid="{00000000-0010-0000-5A00-00000B000000}" name="Column2" dataDxfId="1312"/>
    <tableColumn id="10" xr3:uid="{00000000-0010-0000-5A00-00000A000000}" name="Column1" dataDxfId="1312"/>
    <tableColumn id="12" xr3:uid="{00000000-0010-0000-5A00-00000C000000}" name="Column12" totalsRowFunction="sum" dataDxfId="1327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12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16"/>
    <tableColumn id="7" xr3:uid="{00000000-0010-0000-5A00-000007000000}" name="سعر الشبك " dataDxfId="1322">
      <calculatedColumnFormula>BN22*$S$2/1000</calculatedColumnFormula>
    </tableColumn>
    <tableColumn id="8" xr3:uid="{00000000-0010-0000-5A00-000008000000}" name="اجمالي" totalsRowFunction="sum" dataDxfId="132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34"/>
    <tableColumn id="2" xr3:uid="{00000000-0010-0000-5B00-000002000000}" name="المعدل" dataDxfId="1334"/>
    <tableColumn id="3" xr3:uid="{00000000-0010-0000-5B00-000003000000}" name="الوحدة" dataDxfId="1334"/>
    <tableColumn id="4" xr3:uid="{00000000-0010-0000-5B00-000004000000}" name="Column4" dataDxfId="134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34"/>
    <tableColumn id="2" xr3:uid="{00000000-0010-0000-5C00-000002000000}" name="Column2" dataDxfId="1348"/>
    <tableColumn id="3" xr3:uid="{00000000-0010-0000-5C00-000003000000}" name="Column3" dataDxfId="1334"/>
    <tableColumn id="4" xr3:uid="{00000000-0010-0000-5C00-000004000000}" name="Column4" dataDxfId="1334"/>
    <tableColumn id="5" xr3:uid="{00000000-0010-0000-5C00-000005000000}" name="Column5" dataDxfId="133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12"/>
    <tableColumn id="2" xr3:uid="{00000000-0010-0000-5D00-000002000000}" name="عدد" dataDxfId="1340">
      <calculatedColumnFormula>IF((تسعير!$AU$14="بالتات"),0,BH48-2)</calculatedColumnFormula>
    </tableColumn>
    <tableColumn id="3" xr3:uid="{00000000-0010-0000-5D00-000003000000}" name="بيان" totalsRowLabel="Total" dataDxfId="1343"/>
    <tableColumn id="5" xr3:uid="{00000000-0010-0000-5D00-000005000000}" name="اليومية / الاجرة" dataDxfId="1343"/>
    <tableColumn id="6" xr3:uid="{00000000-0010-0000-5D00-000006000000}" name="بدل الوجبة" dataDxfId="1344"/>
    <tableColumn id="11" xr3:uid="{00000000-0010-0000-5D00-00000B000000}" name="موقع العمل" dataDxfId="1333">
      <calculatedColumnFormula>تسعير!$AT$44</calculatedColumnFormula>
    </tableColumn>
    <tableColumn id="10" xr3:uid="{00000000-0010-0000-5D00-00000A000000}" name="شيفت العمل" dataDxfId="1312"/>
    <tableColumn id="12" xr3:uid="{00000000-0010-0000-5D00-00000C000000}" name="Column12" totalsRowFunction="sum" dataDxfId="13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53"/>
    <tableColumn id="7" xr3:uid="{00000000-0010-0000-5D00-000007000000}" name="اجمالي التكلفة للعامل" dataDxfId="1354">
      <calculatedColumnFormula>Table1612677686[[#This Row],[Column12]]</calculatedColumnFormula>
    </tableColumn>
    <tableColumn id="8" xr3:uid="{00000000-0010-0000-5D00-000008000000}" name="اجمالي" totalsRowFunction="sum" dataDxfId="132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33"/>
    <tableColumn id="2" xr3:uid="{00000000-0010-0000-5E00-000002000000}" name="عدد" dataDxfId="1340">
      <calculatedColumnFormula>IF((BL62="الاسكندرية"),0.25,0.1)</calculatedColumnFormula>
    </tableColumn>
    <tableColumn id="3" xr3:uid="{00000000-0010-0000-5E00-000003000000}" name="بيان" totalsRowLabel="Total" dataDxfId="1333"/>
    <tableColumn id="11" xr3:uid="{00000000-0010-0000-5E00-00000B000000}" name="Column2" dataDxfId="1333"/>
    <tableColumn id="10" xr3:uid="{00000000-0010-0000-5E00-00000A000000}" name="Column1" dataDxfId="1333"/>
    <tableColumn id="12" xr3:uid="{00000000-0010-0000-5E00-00000C000000}" name="Column12" totalsRowFunction="sum" dataDxfId="1358"/>
    <tableColumn id="4" xr3:uid="{00000000-0010-0000-5E00-000004000000}" name="الوحده" dataDxfId="1335"/>
    <tableColumn id="5" xr3:uid="{00000000-0010-0000-5E00-000005000000}" name="الوزن" dataDxfId="1333"/>
    <tableColumn id="6" xr3:uid="{00000000-0010-0000-5E00-000006000000}" name="سعر الكيلو" dataDxfId="1333"/>
    <tableColumn id="7" xr3:uid="{00000000-0010-0000-5E00-000007000000}" name="سعر الشبك " dataDxfId="1350">
      <calculatedColumnFormula>BQ45</calculatedColumnFormula>
    </tableColumn>
    <tableColumn id="8" xr3:uid="{00000000-0010-0000-5E00-000008000000}" name="اجمالي" totalsRowFunction="sum" dataDxfId="132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34"/>
    <tableColumn id="2" xr3:uid="{00000000-0010-0000-5F00-000002000000}" name="خارجي" dataDxfId="1334"/>
    <tableColumn id="3" xr3:uid="{00000000-0010-0000-5F00-000003000000}" name="داخلي" dataDxfId="1334"/>
    <tableColumn id="4" xr3:uid="{00000000-0010-0000-5F00-000004000000}" name="بدل الوجبة" dataDxfId="1334"/>
    <tableColumn id="5" xr3:uid="{00000000-0010-0000-5F00-000005000000}" name="دبابة" dataDxfId="1334"/>
    <tableColumn id="6" xr3:uid="{00000000-0010-0000-5F00-000006000000}" name="جامبو" dataDxfId="1334"/>
    <tableColumn id="7" xr3:uid="{00000000-0010-0000-5F00-000007000000}" name="الاقامة" dataDxfId="133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33"/>
    <tableColumn id="4" xr3:uid="{00000000-0010-0000-6000-000004000000}" name="Column22" dataDxfId="1333"/>
    <tableColumn id="5" xr3:uid="{00000000-0010-0000-6000-000005000000}" name="Column23" dataDxfId="1333"/>
    <tableColumn id="3" xr3:uid="{00000000-0010-0000-6000-000003000000}" name="Column3" dataDxfId="1355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4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12"/>
    <tableColumn id="2" xr3:uid="{00000000-0010-0000-6100-000002000000}" name="عدد" dataDxfId="1312"/>
    <tableColumn id="3" xr3:uid="{00000000-0010-0000-6100-000003000000}" name="بيان" totalsRowLabel="Total" dataDxfId="1312"/>
    <tableColumn id="11" xr3:uid="{00000000-0010-0000-6100-00000B000000}" name="Column2" dataDxfId="1312"/>
    <tableColumn id="10" xr3:uid="{00000000-0010-0000-6100-00000A000000}" name="Column1" dataDxfId="1312"/>
    <tableColumn id="12" xr3:uid="{00000000-0010-0000-6100-00000C000000}" name="المسطح" totalsRowFunction="sum" dataDxfId="1327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12"/>
    <tableColumn id="5" xr3:uid="{00000000-0010-0000-6100-000005000000}" name="الوزن" totalsRowFunction="custom">
      <totalsRowFormula>(BN6*BH6)+(BN7*BG7)+(BN8*BG8)+(BN9*BG9)</totalsRowFormula>
    </tableColumn>
    <tableColumn id="6" xr3:uid="{00000000-0010-0000-6100-000006000000}" name="اجمالي المسطح" totalsRowFunction="sum" dataDxfId="1316">
      <calculatedColumnFormula>Table1588090[[#This Row],[المسطح]]*Table1588090[[#This Row],[عدد]]</calculatedColumnFormula>
    </tableColumn>
    <tableColumn id="7" xr3:uid="{00000000-0010-0000-6100-000007000000}" name="سعر الشبك " dataDxfId="1359">
      <calculatedColumnFormula>BN6*$S$2/1000</calculatedColumnFormula>
    </tableColumn>
    <tableColumn id="8" xr3:uid="{00000000-0010-0000-6100-000008000000}" name="اجمالي" totalsRowFunction="sum" dataDxfId="1323">
      <calculatedColumnFormula>BH6*BP6</calculatedColumnFormula>
    </tableColumn>
    <tableColumn id="9" xr3:uid="{00000000-0010-0000-6100-000009000000}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230" totalsRowDxfId="0"/>
    <tableColumn id="4" xr3:uid="{00000000-0010-0000-6200-000004000000}" name="Column2" dataDxfId="1360" totalsRowDxfId="1231"/>
    <tableColumn id="5" xr3:uid="{00000000-0010-0000-6200-000005000000}" name="wt/m" dataDxfId="1230" totalsRowDxfId="1361"/>
    <tableColumn id="6" xr3:uid="{00000000-0010-0000-6200-000006000000}" name="price" totalsRowFunction="sum" dataDxfId="1362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6"/>
  <sheetViews>
    <sheetView rightToLeft="1" tabSelected="1" zoomScale="90" zoomScaleNormal="90" zoomScaleSheetLayoutView="70" workbookViewId="0">
      <selection activeCell="B57" sqref="B57"/>
    </sheetView>
  </sheetViews>
  <sheetFormatPr defaultColWidth="9.14453125" defaultRowHeight="15" x14ac:dyDescent="0.2"/>
  <cols>
    <col min="1" max="1" width="36.3203125" customWidth="1" style="233"/>
    <col min="2" max="2" width="18.96484375" customWidth="1" style="233"/>
    <col min="3" max="3" width="11.02734375" customWidth="1" style="233"/>
    <col min="4" max="4" width="18.16015625" customWidth="1" style="233"/>
    <col min="5" max="6" width="9.14453125" customWidth="1" style="233"/>
    <col min="7" max="9" width="11.02734375" customWidth="1" style="233"/>
    <col min="10" max="16384" width="9.14453125" customWidth="1" style="233"/>
  </cols>
  <sheetData>
    <row r="1" ht="24.75" customHeight="1" s="372" customFormat="1">
      <c r="A1" s="372" t="s">
        <v>520</v>
      </c>
      <c r="B1" s="372" t="s">
        <v>521</v>
      </c>
      <c r="C1" s="372" t="s">
        <v>522</v>
      </c>
      <c r="D1" s="372" t="s">
        <v>154</v>
      </c>
      <c r="E1" s="503"/>
      <c r="F1" s="504"/>
      <c r="G1" s="567" t="s">
        <v>523</v>
      </c>
      <c r="H1" s="567"/>
      <c r="I1" s="567"/>
      <c r="J1" s="517"/>
    </row>
    <row r="2" ht="21">
      <c r="A2" s="505" t="s">
        <v>524</v>
      </c>
      <c r="B2" s="565" t="s">
        <v>525</v>
      </c>
      <c r="C2" s="506" t="s">
        <v>228</v>
      </c>
      <c r="D2" s="507" t="s">
        <v>526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527</v>
      </c>
      <c r="C3" s="510" t="s">
        <v>224</v>
      </c>
      <c r="D3" s="511" t="s">
        <v>528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39491.875</v>
      </c>
      <c r="J3" s="518"/>
    </row>
    <row r="4" ht="21">
      <c r="A4" s="512"/>
      <c r="B4" s="513"/>
      <c r="C4" s="513"/>
      <c r="D4" s="514"/>
      <c r="E4" s="503"/>
      <c r="F4" s="508"/>
      <c r="G4" s="568" t="s">
        <v>529</v>
      </c>
      <c r="H4" s="568"/>
      <c r="I4" s="568"/>
      <c r="J4" s="518"/>
    </row>
    <row r="5" ht="21">
      <c r="A5" s="505" t="s">
        <v>524</v>
      </c>
      <c r="B5" s="565" t="s">
        <v>525</v>
      </c>
      <c r="C5" s="506" t="s">
        <v>228</v>
      </c>
      <c r="D5" s="507" t="s">
        <v>526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530</v>
      </c>
      <c r="B6" s="566" t="s">
        <v>527</v>
      </c>
      <c r="C6" s="510" t="s">
        <v>224</v>
      </c>
      <c r="D6" s="511" t="s">
        <v>528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130412.5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531</v>
      </c>
      <c r="B10" s="569"/>
    </row>
    <row r="11">
      <c r="A11" s="233" t="s">
        <v>532</v>
      </c>
      <c r="B11" s="233" t="s">
        <v>378</v>
      </c>
    </row>
    <row r="12">
      <c r="A12" s="233" t="s">
        <v>533</v>
      </c>
      <c r="B12" s="233">
        <v>75000</v>
      </c>
    </row>
    <row r="13">
      <c r="A13" s="233" t="s">
        <v>534</v>
      </c>
      <c r="B13" s="233">
        <v>79000</v>
      </c>
    </row>
    <row r="14">
      <c r="A14" s="564" t="s">
        <v>232</v>
      </c>
      <c r="B14" s="233">
        <v>225000</v>
      </c>
    </row>
    <row r="15">
      <c r="A15" s="233" t="s">
        <v>535</v>
      </c>
      <c r="B15" s="233">
        <v>50000</v>
      </c>
    </row>
    <row r="16">
      <c r="A16" s="233" t="s">
        <v>536</v>
      </c>
      <c r="B16" s="233">
        <v>275</v>
      </c>
    </row>
    <row r="17">
      <c r="A17" s="233" t="s">
        <v>537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538</v>
      </c>
      <c r="B33" s="233">
        <v>8000</v>
      </c>
    </row>
    <row r="34">
      <c r="A34" s="233" t="s">
        <v>402</v>
      </c>
      <c r="B34" s="233">
        <v>2000</v>
      </c>
    </row>
    <row r="35">
      <c r="A35" s="233" t="s">
        <v>410</v>
      </c>
      <c r="B35" s="233">
        <v>1500</v>
      </c>
    </row>
    <row r="36">
      <c r="A36" s="233" t="s">
        <v>412</v>
      </c>
      <c r="B36" s="233">
        <v>1500</v>
      </c>
    </row>
    <row r="37">
      <c r="A37" s="233" t="s">
        <v>420</v>
      </c>
      <c r="B37" s="233">
        <v>5000</v>
      </c>
    </row>
    <row r="38">
      <c r="A38" s="233" t="s">
        <v>422</v>
      </c>
      <c r="B38" s="233">
        <v>800</v>
      </c>
    </row>
    <row r="39">
      <c r="A39" s="233" t="s">
        <v>427</v>
      </c>
      <c r="B39" s="233">
        <v>120</v>
      </c>
    </row>
    <row r="40">
      <c r="A40" s="233" t="s">
        <v>539</v>
      </c>
      <c r="B40" s="233">
        <v>90</v>
      </c>
    </row>
    <row r="41">
      <c r="A41" s="233" t="s">
        <v>540</v>
      </c>
      <c r="B41" s="233">
        <v>20</v>
      </c>
    </row>
    <row r="42" ht="18.75">
      <c r="A42" s="331" t="s">
        <v>541</v>
      </c>
      <c r="B42" s="233">
        <v>650</v>
      </c>
    </row>
    <row r="43" ht="18.75">
      <c r="A43" s="331" t="s">
        <v>542</v>
      </c>
      <c r="B43" s="233">
        <v>150</v>
      </c>
    </row>
    <row r="44" ht="18.75">
      <c r="A44" s="331" t="s">
        <v>543</v>
      </c>
      <c r="B44" s="233">
        <v>200</v>
      </c>
    </row>
    <row r="45">
      <c r="A45" s="564" t="s">
        <v>544</v>
      </c>
      <c r="B45" s="233">
        <v>4000</v>
      </c>
    </row>
    <row r="46">
      <c r="A46" s="564" t="s">
        <v>545</v>
      </c>
      <c r="B46" s="233">
        <v>3000</v>
      </c>
    </row>
    <row r="47">
      <c r="A47" s="233" t="s">
        <v>546</v>
      </c>
      <c r="B47" s="233">
        <v>150</v>
      </c>
    </row>
    <row r="48">
      <c r="A48" s="233" t="s">
        <v>547</v>
      </c>
      <c r="B48" s="233">
        <v>20</v>
      </c>
    </row>
    <row r="49">
      <c r="A49" s="233" t="s">
        <v>548</v>
      </c>
      <c r="B49" s="233">
        <v>1200</v>
      </c>
    </row>
    <row r="50">
      <c r="A50" s="233" t="s">
        <v>273</v>
      </c>
      <c r="B50" s="233">
        <v>150</v>
      </c>
    </row>
    <row r="51">
      <c r="A51" s="233" t="s">
        <v>549</v>
      </c>
      <c r="B51" s="233">
        <v>150</v>
      </c>
    </row>
    <row r="52">
      <c r="A52" s="233" t="s">
        <v>550</v>
      </c>
      <c r="B52" s="233">
        <v>250</v>
      </c>
    </row>
    <row r="53">
      <c r="A53" s="233" t="s">
        <v>551</v>
      </c>
      <c r="B53" s="233">
        <v>100</v>
      </c>
    </row>
    <row r="54">
      <c r="A54" s="564" t="s">
        <v>552</v>
      </c>
      <c r="B54" s="233">
        <v>1200</v>
      </c>
    </row>
    <row r="55">
      <c r="A55" s="540" t="s">
        <v>553</v>
      </c>
      <c r="B55" s="233">
        <v>21000</v>
      </c>
    </row>
    <row r="56">
      <c r="A56" s="540" t="s">
        <v>554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453125" defaultRowHeight="18.75" x14ac:dyDescent="0.2"/>
  <cols>
    <col min="1" max="1" width="2.6875" customWidth="1" style="10"/>
    <col min="2" max="5" width="8.7421875" customWidth="1" style="10"/>
    <col min="6" max="6" width="4.83984375" customWidth="1" style="10"/>
    <col min="7" max="7" width="8.33984375" customWidth="1" style="10"/>
    <col min="8" max="8" width="2.6875" customWidth="1" style="10"/>
    <col min="9" max="12" width="8.7421875" customWidth="1" style="10"/>
    <col min="13" max="13" width="4.83984375" customWidth="1" style="10"/>
    <col min="14" max="14" width="9.14453125" customWidth="1" style="59"/>
    <col min="15" max="15" width="14.125" customWidth="1" style="59"/>
    <col min="16" max="16" width="11.56640625" customWidth="1" style="60"/>
    <col min="17" max="17" width="8.33984375" customWidth="1" style="60"/>
    <col min="18" max="18" width="7.53125" customWidth="1" style="60"/>
    <col min="19" max="19" width="11.296875" customWidth="1" style="60"/>
    <col min="20" max="20" width="37.53125" customWidth="1" style="61"/>
    <col min="21" max="21" width="19.37109375" customWidth="1" style="60"/>
    <col min="22" max="22" width="13.5859375" customWidth="1" style="60"/>
    <col min="23" max="23" width="43.046875" customWidth="1" style="60"/>
    <col min="24" max="24" width="25.55859375" customWidth="1" style="60"/>
    <col min="25" max="25" width="8.609375" customWidth="1" style="60"/>
    <col min="26" max="26" width="10.76171875" customWidth="1" style="60"/>
    <col min="27" max="28" width="9.4140625" customWidth="1" style="62"/>
    <col min="29" max="30" width="9.14453125" customWidth="1" style="58"/>
    <col min="31" max="52" width="9.14453125" customWidth="1" style="10"/>
    <col min="53" max="16384" width="9.14453125" customWidth="1" style="10"/>
  </cols>
  <sheetData>
    <row r="1" ht="40.5" customHeight="1">
      <c r="A1" s="736" t="s">
        <v>358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327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361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360</v>
      </c>
      <c r="E5" s="745"/>
      <c r="F5" s="746"/>
      <c r="G5" s="63"/>
      <c r="H5" s="63"/>
      <c r="I5" s="741">
        <f>W1</f>
        <v>245000</v>
      </c>
      <c r="J5" s="742"/>
      <c r="K5" s="743"/>
      <c r="L5" s="744" t="s">
        <v>362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363</v>
      </c>
      <c r="B6" s="685"/>
      <c r="C6" s="686"/>
      <c r="D6" s="678" t="s">
        <v>364</v>
      </c>
      <c r="E6" s="747" t="s">
        <v>334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">
      <c r="A7" s="684"/>
      <c r="B7" s="685"/>
      <c r="C7" s="686"/>
      <c r="D7" s="678"/>
      <c r="E7" s="720" t="s">
        <v>366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367</v>
      </c>
      <c r="O7" s="99">
        <f>AA41/K7</f>
        <v>2899.098582654874</v>
      </c>
      <c r="S7" s="60" t="s">
        <v>127</v>
      </c>
      <c r="T7" s="61" t="s">
        <v>368</v>
      </c>
      <c r="Z7" s="151"/>
      <c r="AA7" s="60"/>
      <c r="AB7" s="60"/>
    </row>
    <row r="8">
      <c r="A8" s="687"/>
      <c r="B8" s="688"/>
      <c r="C8" s="689"/>
      <c r="D8" s="679"/>
      <c r="E8" s="724" t="s">
        <v>369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115963.94330619497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371</v>
      </c>
      <c r="B10" s="728"/>
      <c r="C10" s="728"/>
      <c r="D10" s="728"/>
      <c r="E10" s="728"/>
      <c r="F10" s="728"/>
      <c r="G10" s="729" t="s">
        <v>316</v>
      </c>
      <c r="H10" s="729"/>
      <c r="I10" s="729" t="s">
        <v>372</v>
      </c>
      <c r="J10" s="729"/>
      <c r="K10" s="104"/>
      <c r="L10" s="730" t="s">
        <v>356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378</v>
      </c>
      <c r="Z10" s="151"/>
      <c r="AA10" s="60"/>
      <c r="AB10" s="60"/>
    </row>
    <row r="11" ht="20.1" customHeight="1">
      <c r="A11" s="731" t="s">
        <v>379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26202.909090909117</v>
      </c>
      <c r="Z11" s="151"/>
      <c r="AA11" s="60"/>
      <c r="AB11" s="60"/>
    </row>
    <row r="12" ht="20.1" customHeight="1">
      <c r="A12" s="708" t="s">
        <v>380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5479.5348837209231</v>
      </c>
      <c r="Z12" s="151"/>
      <c r="AA12" s="60"/>
      <c r="AB12" s="60"/>
    </row>
    <row r="13" ht="20.1" customHeight="1">
      <c r="A13" s="708" t="s">
        <v>381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382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383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384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18552.413793103369</v>
      </c>
      <c r="Z14" s="151"/>
      <c r="AA14" s="60"/>
      <c r="AB14" s="60"/>
    </row>
    <row r="15" ht="20.1" customHeight="1">
      <c r="A15" s="708" t="s">
        <v>385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386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387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8" t="s">
        <v>388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1025.2307692307729</v>
      </c>
      <c r="Z17" s="151"/>
      <c r="AA17" s="60"/>
      <c r="AB17" s="60"/>
    </row>
    <row r="18" ht="20.1" customHeight="1">
      <c r="A18" s="708" t="s">
        <v>389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337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390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316</v>
      </c>
      <c r="M20" s="717" t="s">
        <v>391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2425.5</v>
      </c>
      <c r="Z20" s="151"/>
      <c r="AA20" s="60"/>
      <c r="AB20" s="60"/>
    </row>
    <row r="21" ht="20.1" customHeight="1">
      <c r="A21" s="700" t="s">
        <v>392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61735.319306194957</v>
      </c>
      <c r="Z22" s="151"/>
      <c r="AA22" s="60"/>
      <c r="AB22" s="60"/>
    </row>
    <row r="23" ht="20.1" customHeight="1">
      <c r="A23" s="704" t="s">
        <v>393</v>
      </c>
      <c r="B23" s="705"/>
      <c r="C23" s="705"/>
      <c r="D23" s="705"/>
      <c r="E23" s="706"/>
      <c r="F23" s="67" t="s">
        <v>394</v>
      </c>
      <c r="G23" s="68"/>
      <c r="H23" s="704" t="s">
        <v>395</v>
      </c>
      <c r="I23" s="705"/>
      <c r="J23" s="705"/>
      <c r="K23" s="705"/>
      <c r="L23" s="706"/>
      <c r="M23" s="67" t="s">
        <v>316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400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342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401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402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403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404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405</v>
      </c>
      <c r="C27" s="691"/>
      <c r="D27" s="691"/>
      <c r="E27" s="692"/>
      <c r="F27" s="73">
        <v>4</v>
      </c>
      <c r="G27" s="71"/>
      <c r="H27" s="72">
        <v>19</v>
      </c>
      <c r="I27" s="693" t="s">
        <v>406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407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408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409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410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411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412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413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414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415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416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417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418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419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420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421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422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423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424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425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426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427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428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429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330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115963.94330619497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332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453125" defaultRowHeight="15" x14ac:dyDescent="0.2"/>
  <cols>
    <col min="1" max="1" width="18.5625" customWidth="1" style="11"/>
    <col min="2" max="3" width="9.14453125" customWidth="1" style="1"/>
    <col min="4" max="4" width="9.953125" customWidth="1" style="1"/>
    <col min="5" max="7" width="9.14453125" customWidth="1" style="1"/>
    <col min="8" max="8" width="15.19921875" customWidth="1" style="1"/>
    <col min="9" max="16384" width="9.14453125" customWidth="1" style="1"/>
  </cols>
  <sheetData>
    <row r="1" ht="18" customHeight="1">
      <c r="J1" s="658" t="s">
        <v>326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327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328</v>
      </c>
      <c r="F3" s="650" t="s">
        <v>329</v>
      </c>
      <c r="G3" s="650"/>
    </row>
    <row r="4" ht="18" customHeight="1">
      <c r="A4" s="11" t="s">
        <v>330</v>
      </c>
      <c r="F4" s="654" t="s">
        <v>331</v>
      </c>
      <c r="G4" s="655"/>
      <c r="H4" s="655"/>
      <c r="I4" s="656"/>
      <c r="J4" s="10"/>
    </row>
    <row r="5" ht="18" customHeight="1">
      <c r="A5" s="11" t="s">
        <v>332</v>
      </c>
      <c r="F5" s="657" t="s">
        <v>333</v>
      </c>
      <c r="G5" s="648"/>
      <c r="H5" s="648"/>
      <c r="I5" s="649"/>
      <c r="J5" s="10"/>
    </row>
    <row r="6" ht="18" customHeight="1">
      <c r="A6" s="11" t="s">
        <v>334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158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335</v>
      </c>
    </row>
    <row r="10" ht="18" customHeight="1">
      <c r="A10" s="11" t="s">
        <v>336</v>
      </c>
    </row>
    <row r="11" ht="18" customHeight="1">
      <c r="A11" s="11" t="s">
        <v>337</v>
      </c>
      <c r="B11" s="637" t="s">
        <v>338</v>
      </c>
      <c r="C11" s="638"/>
      <c r="D11" s="648" t="s">
        <v>339</v>
      </c>
      <c r="E11" s="649"/>
    </row>
    <row r="12" ht="18" customHeight="1">
      <c r="A12" s="11" t="s">
        <v>340</v>
      </c>
    </row>
    <row r="13" ht="18" customHeight="1">
      <c r="A13" s="11" t="s">
        <v>341</v>
      </c>
    </row>
    <row r="14" ht="18" customHeight="1"/>
    <row r="15" ht="24.6" customHeight="1">
      <c r="A15" s="11" t="s">
        <v>342</v>
      </c>
      <c r="Q15" s="642"/>
      <c r="R15" s="642"/>
      <c r="S15" s="642"/>
    </row>
    <row r="16" ht="18" customHeight="1">
      <c r="C16" s="650" t="s">
        <v>343</v>
      </c>
      <c r="D16" s="650"/>
      <c r="E16" s="650"/>
      <c r="F16" s="1" t="s">
        <v>344</v>
      </c>
    </row>
    <row r="17" ht="18" customHeight="1">
      <c r="A17" s="650" t="s">
        <v>345</v>
      </c>
      <c r="B17" s="650"/>
      <c r="C17" s="650"/>
    </row>
    <row r="18" ht="18" customHeight="1">
      <c r="A18" s="639" t="s">
        <v>346</v>
      </c>
      <c r="B18" s="640"/>
      <c r="C18" s="14">
        <f>'Format Φωτισμου (2)'!B9</f>
        <v>5</v>
      </c>
    </row>
    <row r="19" ht="18" customHeight="1">
      <c r="A19" s="639" t="s">
        <v>347</v>
      </c>
      <c r="B19" s="640"/>
      <c r="C19" s="14">
        <f>'Format Φωτισμου (2)'!B12</f>
        <v>35</v>
      </c>
    </row>
    <row r="20" ht="18" customHeight="1">
      <c r="A20" s="639" t="s">
        <v>348</v>
      </c>
      <c r="B20" s="640"/>
      <c r="C20" s="14">
        <f>C19/C18</f>
        <v>7</v>
      </c>
    </row>
    <row r="21" ht="18" customHeight="1">
      <c r="A21" s="644" t="s">
        <v>349</v>
      </c>
      <c r="B21" s="645"/>
      <c r="C21" s="646">
        <v>20</v>
      </c>
      <c r="D21" s="647"/>
      <c r="E21" s="637" t="s">
        <v>350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351</v>
      </c>
      <c r="B22" s="640"/>
      <c r="C22" s="179">
        <v>50</v>
      </c>
      <c r="D22" s="184" t="s">
        <v>352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353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354</v>
      </c>
      <c r="H26" s="1" t="s">
        <v>355</v>
      </c>
    </row>
    <row r="27" ht="18" customHeight="1">
      <c r="A27" s="11" t="s">
        <v>356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357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337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453125" defaultRowHeight="18.75" x14ac:dyDescent="0.2"/>
  <cols>
    <col min="1" max="1" width="2.6875" customWidth="1" style="10"/>
    <col min="2" max="5" width="8.7421875" customWidth="1" style="10"/>
    <col min="6" max="6" width="4.83984375" customWidth="1" style="10"/>
    <col min="7" max="7" width="8.33984375" customWidth="1" style="10"/>
    <col min="8" max="8" width="2.6875" customWidth="1" style="10"/>
    <col min="9" max="12" width="8.7421875" customWidth="1" style="10"/>
    <col min="13" max="13" width="4.83984375" customWidth="1" style="10"/>
    <col min="14" max="14" width="9.14453125" customWidth="1" style="59"/>
    <col min="15" max="15" width="14.125" customWidth="1" style="59"/>
    <col min="16" max="16" width="11.56640625" customWidth="1" style="60"/>
    <col min="17" max="17" width="8.33984375" customWidth="1" style="60"/>
    <col min="18" max="18" width="7.53125" customWidth="1" style="60"/>
    <col min="19" max="19" width="11.296875" customWidth="1" style="60"/>
    <col min="20" max="20" width="37.53125" customWidth="1" style="61"/>
    <col min="21" max="21" width="19.37109375" customWidth="1" style="60"/>
    <col min="22" max="22" width="18.96484375" customWidth="1" style="60"/>
    <col min="23" max="23" width="34.03125" customWidth="1" style="60"/>
    <col min="24" max="24" width="25.55859375" customWidth="1" style="60"/>
    <col min="25" max="25" width="8.7421875" customWidth="1" style="60"/>
    <col min="26" max="26" width="10.76171875" customWidth="1" style="60"/>
    <col min="27" max="28" width="9.4140625" customWidth="1" style="62"/>
    <col min="29" max="30" width="9.14453125" customWidth="1" style="58"/>
    <col min="31" max="52" width="9.14453125" customWidth="1" style="10"/>
    <col min="53" max="16384" width="9.14453125" customWidth="1" style="10"/>
  </cols>
  <sheetData>
    <row r="1" ht="40.5" customHeight="1">
      <c r="A1" s="736" t="s">
        <v>430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327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361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360</v>
      </c>
      <c r="E5" s="745"/>
      <c r="F5" s="746"/>
      <c r="G5" s="63"/>
      <c r="H5" s="63"/>
      <c r="I5" s="741">
        <f>W1</f>
        <v>245000</v>
      </c>
      <c r="J5" s="742"/>
      <c r="K5" s="743"/>
      <c r="L5" s="744" t="s">
        <v>362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363</v>
      </c>
      <c r="B6" s="685"/>
      <c r="C6" s="686"/>
      <c r="D6" s="678" t="s">
        <v>364</v>
      </c>
      <c r="E6" s="747" t="s">
        <v>334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">
      <c r="A7" s="684"/>
      <c r="B7" s="685"/>
      <c r="C7" s="686"/>
      <c r="D7" s="678"/>
      <c r="E7" s="720" t="s">
        <v>366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367</v>
      </c>
      <c r="O7" s="99">
        <f>AA41/K7</f>
        <v>2105.7797557477479</v>
      </c>
      <c r="S7" s="60" t="s">
        <v>127</v>
      </c>
      <c r="T7" s="61" t="s">
        <v>368</v>
      </c>
      <c r="Z7" s="151"/>
      <c r="AA7" s="60"/>
      <c r="AB7" s="60"/>
    </row>
    <row r="8">
      <c r="A8" s="687"/>
      <c r="B8" s="688"/>
      <c r="C8" s="689"/>
      <c r="D8" s="679"/>
      <c r="E8" s="724" t="s">
        <v>369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202154.8565517838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371</v>
      </c>
      <c r="B10" s="728"/>
      <c r="C10" s="728"/>
      <c r="D10" s="728"/>
      <c r="E10" s="728"/>
      <c r="F10" s="728"/>
      <c r="G10" s="729" t="s">
        <v>316</v>
      </c>
      <c r="H10" s="729"/>
      <c r="I10" s="729" t="s">
        <v>372</v>
      </c>
      <c r="J10" s="729"/>
      <c r="K10" s="104"/>
      <c r="L10" s="730" t="s">
        <v>356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378</v>
      </c>
      <c r="Z10" s="151"/>
      <c r="AA10" s="60"/>
      <c r="AB10" s="60"/>
    </row>
    <row r="11" ht="20.1" customHeight="1">
      <c r="A11" s="731" t="s">
        <v>379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8" t="s">
        <v>380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8" t="s">
        <v>381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382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8" t="s">
        <v>383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384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8" t="s">
        <v>385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8" t="s">
        <v>386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387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8" t="s">
        <v>388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8" t="s">
        <v>389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337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390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316</v>
      </c>
      <c r="M20" s="717" t="s">
        <v>391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0" t="s">
        <v>392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99702.0325517838</v>
      </c>
      <c r="Z22" s="151"/>
      <c r="AA22" s="60"/>
      <c r="AB22" s="60"/>
    </row>
    <row r="23" ht="20.1" customHeight="1">
      <c r="A23" s="704" t="s">
        <v>393</v>
      </c>
      <c r="B23" s="705"/>
      <c r="C23" s="705"/>
      <c r="D23" s="705"/>
      <c r="E23" s="706"/>
      <c r="F23" s="67" t="s">
        <v>394</v>
      </c>
      <c r="G23" s="68"/>
      <c r="H23" s="704" t="s">
        <v>395</v>
      </c>
      <c r="I23" s="705"/>
      <c r="J23" s="705"/>
      <c r="K23" s="705"/>
      <c r="L23" s="706"/>
      <c r="M23" s="67" t="s">
        <v>316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400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342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401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402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403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404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405</v>
      </c>
      <c r="C27" s="691"/>
      <c r="D27" s="691"/>
      <c r="E27" s="692"/>
      <c r="F27" s="73">
        <v>4</v>
      </c>
      <c r="G27" s="71"/>
      <c r="H27" s="72">
        <v>19</v>
      </c>
      <c r="I27" s="693" t="s">
        <v>406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407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408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409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410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411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412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413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414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415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416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417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418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419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420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421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422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423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424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425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426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427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428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429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330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202154.8565517838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332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453125" defaultRowHeight="15" x14ac:dyDescent="0.2"/>
  <cols>
    <col min="1" max="1" width="15.87109375" customWidth="1" style="10"/>
    <col min="2" max="2" width="18.0234375" customWidth="1" style="10"/>
    <col min="3" max="3" width="17.21875" customWidth="1" style="10"/>
    <col min="4" max="4" width="14.66015625" customWidth="1" style="10"/>
    <col min="5" max="5" width="15.87109375" customWidth="1" style="10"/>
    <col min="6" max="6" width="9.953125" customWidth="1" style="10"/>
    <col min="7" max="9" width="9.14453125" customWidth="1" style="10"/>
    <col min="10" max="10" width="7.3984375" customWidth="1" style="10"/>
    <col min="11" max="11" width="9.55078125" customWidth="1" style="10"/>
    <col min="12" max="12" width="11.703125" customWidth="1" style="10"/>
    <col min="13" max="13" width="9.14453125" customWidth="1" style="10"/>
    <col min="14" max="14" width="23.26953125" customWidth="1" style="1"/>
    <col min="15" max="15" width="22.328125" customWidth="1" style="10"/>
    <col min="16" max="16" width="13.71875" customWidth="1" style="10"/>
    <col min="17" max="16384" width="9.14453125" customWidth="1" style="10"/>
  </cols>
  <sheetData>
    <row r="1">
      <c r="A1" s="20" t="s">
        <v>363</v>
      </c>
      <c r="B1" s="20" t="s">
        <v>330</v>
      </c>
      <c r="C1" s="20" t="s">
        <v>332</v>
      </c>
      <c r="D1" s="20" t="s">
        <v>335</v>
      </c>
      <c r="E1" s="20" t="s">
        <v>336</v>
      </c>
      <c r="F1" s="20" t="s">
        <v>340</v>
      </c>
      <c r="G1" s="20" t="s">
        <v>345</v>
      </c>
      <c r="H1" s="20" t="s">
        <v>431</v>
      </c>
      <c r="I1" s="20" t="s">
        <v>342</v>
      </c>
      <c r="J1" s="761" t="s">
        <v>432</v>
      </c>
      <c r="K1" s="762"/>
      <c r="L1" s="762"/>
      <c r="M1" s="763"/>
      <c r="N1" s="20" t="s">
        <v>433</v>
      </c>
      <c r="O1" s="20" t="s">
        <v>342</v>
      </c>
      <c r="P1" s="20" t="s">
        <v>434</v>
      </c>
    </row>
    <row r="2">
      <c r="A2" s="21" t="s">
        <v>435</v>
      </c>
      <c r="B2" s="21" t="s">
        <v>436</v>
      </c>
      <c r="C2" s="21" t="s">
        <v>436</v>
      </c>
      <c r="D2" s="21" t="s">
        <v>437</v>
      </c>
      <c r="E2" s="21" t="s">
        <v>438</v>
      </c>
      <c r="F2" s="21" t="s">
        <v>439</v>
      </c>
      <c r="G2" s="21" t="s">
        <v>439</v>
      </c>
      <c r="H2" s="21" t="s">
        <v>439</v>
      </c>
      <c r="I2" s="21" t="s">
        <v>438</v>
      </c>
      <c r="J2" s="4" t="s">
        <v>356</v>
      </c>
      <c r="K2" s="1" t="s">
        <v>357</v>
      </c>
      <c r="L2" s="1" t="s">
        <v>440</v>
      </c>
      <c r="M2" s="18" t="s">
        <v>337</v>
      </c>
      <c r="N2" s="21" t="s">
        <v>441</v>
      </c>
      <c r="O2" s="21" t="s">
        <v>442</v>
      </c>
      <c r="P2" s="21" t="s">
        <v>439</v>
      </c>
    </row>
    <row r="3">
      <c r="A3" s="21" t="s">
        <v>443</v>
      </c>
      <c r="B3" s="21" t="s">
        <v>444</v>
      </c>
      <c r="C3" s="21" t="s">
        <v>444</v>
      </c>
      <c r="D3" s="21" t="s">
        <v>445</v>
      </c>
      <c r="E3" s="21" t="s">
        <v>446</v>
      </c>
      <c r="F3" s="21" t="s">
        <v>438</v>
      </c>
      <c r="G3" s="21" t="s">
        <v>438</v>
      </c>
      <c r="H3" s="21" t="s">
        <v>438</v>
      </c>
      <c r="I3" s="21" t="s">
        <v>447</v>
      </c>
      <c r="J3" s="49">
        <v>-2</v>
      </c>
      <c r="K3" s="10">
        <v>-5</v>
      </c>
      <c r="L3" s="10">
        <v>-5</v>
      </c>
      <c r="M3" s="18">
        <v>-2</v>
      </c>
      <c r="N3" s="21" t="s">
        <v>448</v>
      </c>
      <c r="O3" s="21" t="s">
        <v>449</v>
      </c>
      <c r="P3" s="21" t="s">
        <v>438</v>
      </c>
    </row>
    <row r="4">
      <c r="A4" s="21" t="s">
        <v>450</v>
      </c>
      <c r="B4" s="21" t="s">
        <v>451</v>
      </c>
      <c r="C4" s="21" t="s">
        <v>452</v>
      </c>
      <c r="D4" s="21">
        <v>1</v>
      </c>
      <c r="E4" s="21" t="s">
        <v>453</v>
      </c>
      <c r="F4" s="21">
        <v>1</v>
      </c>
      <c r="G4" s="21">
        <v>1</v>
      </c>
      <c r="H4" s="21">
        <v>2</v>
      </c>
      <c r="I4" s="21" t="s">
        <v>454</v>
      </c>
      <c r="J4" s="49">
        <v>-1</v>
      </c>
      <c r="K4" s="10">
        <v>-4</v>
      </c>
      <c r="L4" s="10">
        <v>-4</v>
      </c>
      <c r="M4" s="18">
        <v>-1</v>
      </c>
      <c r="N4" s="21" t="s">
        <v>455</v>
      </c>
      <c r="O4" s="21">
        <v>1</v>
      </c>
      <c r="P4" s="21" t="s">
        <v>456</v>
      </c>
    </row>
    <row r="5">
      <c r="A5" s="21" t="s">
        <v>457</v>
      </c>
      <c r="B5" s="21">
        <v>1</v>
      </c>
      <c r="C5" s="21" t="s">
        <v>458</v>
      </c>
      <c r="D5" s="21"/>
      <c r="E5" s="21" t="s">
        <v>459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460</v>
      </c>
      <c r="O5" s="21"/>
      <c r="P5" s="21">
        <v>1</v>
      </c>
    </row>
    <row r="6">
      <c r="A6" s="21" t="s">
        <v>461</v>
      </c>
      <c r="B6" s="21"/>
      <c r="C6" s="21" t="s">
        <v>462</v>
      </c>
      <c r="D6" s="21"/>
      <c r="E6" s="21" t="s">
        <v>463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464</v>
      </c>
      <c r="O6" s="21"/>
      <c r="P6" s="21"/>
    </row>
    <row r="7">
      <c r="A7" s="21">
        <v>2</v>
      </c>
      <c r="B7" s="21"/>
      <c r="C7" s="21" t="s">
        <v>451</v>
      </c>
      <c r="D7" s="21"/>
      <c r="E7" s="21" t="s">
        <v>465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466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467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468</v>
      </c>
      <c r="D17" s="765"/>
      <c r="E17" s="765"/>
      <c r="F17" s="766"/>
      <c r="G17" s="1"/>
      <c r="H17" s="1"/>
      <c r="I17" s="1"/>
    </row>
    <row r="18">
      <c r="A18" s="26" t="s">
        <v>469</v>
      </c>
      <c r="B18" s="27">
        <f>تسجيل2!C7</f>
        <v>1200</v>
      </c>
      <c r="C18" s="28" t="s">
        <v>470</v>
      </c>
      <c r="D18" s="28"/>
      <c r="E18" s="28"/>
      <c r="F18" s="25"/>
      <c r="G18" s="1"/>
      <c r="H18" s="1"/>
      <c r="I18" s="1"/>
    </row>
    <row r="19">
      <c r="A19" s="29" t="s">
        <v>471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472</v>
      </c>
      <c r="B29" s="768"/>
      <c r="C29" s="768"/>
      <c r="D29" s="768"/>
      <c r="E29" s="768"/>
      <c r="F29" s="768"/>
      <c r="G29" s="768"/>
      <c r="H29" s="769"/>
      <c r="I29" s="767" t="s">
        <v>473</v>
      </c>
      <c r="J29" s="768"/>
      <c r="K29" s="768"/>
      <c r="L29" s="768"/>
      <c r="M29" s="768"/>
      <c r="N29" s="768"/>
      <c r="O29" s="768"/>
      <c r="P29" s="769"/>
      <c r="Q29" s="767" t="s">
        <v>474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475</v>
      </c>
      <c r="B31" s="756"/>
      <c r="C31" s="36">
        <f>B19</f>
        <v>800</v>
      </c>
      <c r="D31" s="34" t="s">
        <v>476</v>
      </c>
      <c r="E31" s="36">
        <f>H34</f>
        <v>12</v>
      </c>
      <c r="F31" s="34"/>
      <c r="G31" s="34"/>
      <c r="H31" s="35"/>
      <c r="I31" s="755" t="s">
        <v>475</v>
      </c>
      <c r="J31" s="756"/>
      <c r="K31" s="36">
        <f>B19</f>
        <v>800</v>
      </c>
      <c r="L31" s="34" t="s">
        <v>476</v>
      </c>
      <c r="M31" s="36">
        <f>P34</f>
        <v>10</v>
      </c>
      <c r="N31" s="15"/>
      <c r="O31" s="34"/>
      <c r="P31" s="35"/>
      <c r="Q31" s="757" t="s">
        <v>475</v>
      </c>
      <c r="R31" s="758"/>
      <c r="S31" s="57">
        <f>B19</f>
        <v>800</v>
      </c>
      <c r="T31" s="47" t="s">
        <v>477</v>
      </c>
      <c r="U31" s="57">
        <f>INT((S31-4)/25)+1</f>
        <v>32</v>
      </c>
      <c r="V31" s="47"/>
      <c r="W31" s="47"/>
      <c r="X31" s="48"/>
    </row>
    <row r="32">
      <c r="A32" s="759" t="s">
        <v>476</v>
      </c>
      <c r="B32" s="760"/>
      <c r="C32" s="760"/>
      <c r="D32" s="34"/>
      <c r="E32" s="34"/>
      <c r="F32" s="38"/>
      <c r="G32" s="34"/>
      <c r="H32" s="35"/>
      <c r="I32" s="759" t="s">
        <v>478</v>
      </c>
      <c r="J32" s="760"/>
      <c r="K32" s="760"/>
      <c r="L32" s="34"/>
      <c r="M32" s="34"/>
      <c r="N32" s="54"/>
      <c r="O32" s="34"/>
      <c r="P32" s="35"/>
    </row>
    <row r="33">
      <c r="A33" s="39" t="s">
        <v>479</v>
      </c>
      <c r="B33" s="40" t="s">
        <v>480</v>
      </c>
      <c r="C33" s="40" t="s">
        <v>481</v>
      </c>
      <c r="D33" s="34"/>
      <c r="E33" s="40" t="s">
        <v>479</v>
      </c>
      <c r="F33" s="40" t="s">
        <v>480</v>
      </c>
      <c r="G33" s="40" t="s">
        <v>481</v>
      </c>
      <c r="H33" s="35"/>
      <c r="I33" s="39" t="s">
        <v>479</v>
      </c>
      <c r="J33" s="40" t="s">
        <v>480</v>
      </c>
      <c r="K33" s="40" t="s">
        <v>481</v>
      </c>
      <c r="L33" s="34"/>
      <c r="M33" s="40" t="s">
        <v>479</v>
      </c>
      <c r="N33" s="37" t="s">
        <v>480</v>
      </c>
      <c r="O33" s="40" t="s">
        <v>481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483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483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484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484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485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485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486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486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453125" defaultRowHeight="15" x14ac:dyDescent="0.2"/>
  <cols>
    <col min="1" max="2" width="9.14453125" customWidth="1" style="10"/>
    <col min="3" max="3" width="25.828125" customWidth="1" style="10"/>
    <col min="4" max="4" width="11.43359375" customWidth="1" style="1"/>
    <col min="5" max="5" width="11.703125" customWidth="1" style="1"/>
    <col min="6" max="6" width="11.97265625" customWidth="1" style="1"/>
    <col min="7" max="7" width="10.625" customWidth="1" style="1"/>
    <col min="8" max="9" width="9.14453125" customWidth="1" style="10"/>
    <col min="10" max="10" width="11.97265625" customWidth="1" style="10"/>
    <col min="11" max="11" width="9.14453125" customWidth="1" style="1"/>
    <col min="12" max="16384" width="9.14453125" customWidth="1" style="10"/>
  </cols>
  <sheetData>
    <row r="1">
      <c r="A1" s="770" t="s">
        <v>487</v>
      </c>
      <c r="B1" s="771"/>
      <c r="C1" s="17"/>
      <c r="D1" s="3" t="s">
        <v>488</v>
      </c>
      <c r="E1" s="3" t="s">
        <v>489</v>
      </c>
      <c r="F1" s="3" t="s">
        <v>490</v>
      </c>
      <c r="G1" s="3" t="s">
        <v>491</v>
      </c>
      <c r="H1" s="7" t="s">
        <v>492</v>
      </c>
    </row>
    <row r="2">
      <c r="A2" s="772"/>
      <c r="B2" s="773"/>
      <c r="C2" s="10" t="s">
        <v>493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494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495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496</v>
      </c>
      <c r="L5" s="10" t="s">
        <v>497</v>
      </c>
    </row>
    <row r="6">
      <c r="A6" s="772"/>
      <c r="B6" s="773"/>
      <c r="C6" s="10" t="s">
        <v>498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499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500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501</v>
      </c>
      <c r="B10" s="777"/>
      <c r="C10" s="17"/>
      <c r="D10" s="3" t="s">
        <v>488</v>
      </c>
      <c r="E10" s="3" t="s">
        <v>489</v>
      </c>
      <c r="F10" s="3" t="s">
        <v>490</v>
      </c>
      <c r="G10" s="3" t="s">
        <v>491</v>
      </c>
      <c r="H10" s="7" t="s">
        <v>492</v>
      </c>
    </row>
    <row r="11">
      <c r="A11" s="778"/>
      <c r="B11" s="779"/>
      <c r="C11" s="10" t="s">
        <v>493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494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495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496</v>
      </c>
      <c r="L13" s="10" t="s">
        <v>497</v>
      </c>
    </row>
    <row r="14">
      <c r="A14" s="778"/>
      <c r="B14" s="779"/>
      <c r="H14" s="18"/>
      <c r="J14" s="10" t="s">
        <v>499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498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471</v>
      </c>
      <c r="R15" s="10" t="s">
        <v>502</v>
      </c>
    </row>
    <row r="16">
      <c r="A16" s="780"/>
      <c r="B16" s="781"/>
      <c r="C16" s="19" t="s">
        <v>500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503</v>
      </c>
      <c r="B19" s="783"/>
      <c r="C19" s="17"/>
      <c r="D19" s="3" t="s">
        <v>488</v>
      </c>
      <c r="E19" s="3" t="s">
        <v>489</v>
      </c>
      <c r="F19" s="3" t="s">
        <v>490</v>
      </c>
      <c r="G19" s="3" t="s">
        <v>491</v>
      </c>
      <c r="H19" s="7" t="s">
        <v>492</v>
      </c>
    </row>
    <row r="20">
      <c r="A20" s="784"/>
      <c r="B20" s="785"/>
      <c r="C20" s="10" t="s">
        <v>493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494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495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496</v>
      </c>
      <c r="L22" s="10" t="s">
        <v>497</v>
      </c>
    </row>
    <row r="23">
      <c r="A23" s="784"/>
      <c r="B23" s="785"/>
      <c r="H23" s="18"/>
      <c r="J23" s="10" t="s">
        <v>499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498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500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453125" defaultRowHeight="15" x14ac:dyDescent="0.2"/>
  <cols>
    <col min="1" max="1" width="20.71484375" customWidth="1" style="10"/>
    <col min="2" max="2" width="11.97265625" customWidth="1" style="1"/>
    <col min="3" max="9" width="9.14453125" customWidth="1" style="10"/>
    <col min="10" max="10" width="9.55078125" customWidth="1" style="10"/>
    <col min="11" max="11" width="20.58203125" customWidth="1" style="10"/>
    <col min="12" max="12" width="9.14453125" customWidth="1" style="1"/>
    <col min="13" max="14" width="9.14453125" customWidth="1" style="10"/>
    <col min="15" max="15" width="32.5546875" customWidth="1" style="10"/>
    <col min="16" max="16384" width="9.14453125" customWidth="1" style="10"/>
  </cols>
  <sheetData>
    <row r="1">
      <c r="A1" s="1"/>
    </row>
    <row r="2">
      <c r="A2" s="1"/>
      <c r="J2" s="1" t="s">
        <v>382</v>
      </c>
      <c r="K2" s="1" t="s">
        <v>504</v>
      </c>
      <c r="O2" s="1" t="s">
        <v>505</v>
      </c>
    </row>
    <row r="3">
      <c r="A3" s="1" t="s">
        <v>363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506</v>
      </c>
      <c r="B4" s="1">
        <f>تسجيل2!C7</f>
        <v>1200</v>
      </c>
      <c r="J4" s="15">
        <v>4</v>
      </c>
      <c r="K4" s="15">
        <v>2</v>
      </c>
    </row>
    <row r="5">
      <c r="A5" s="1" t="s">
        <v>496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382</v>
      </c>
      <c r="B6" s="1">
        <f>'Cutting Ro-2'!L14</f>
        <v>12</v>
      </c>
      <c r="C6" s="1" t="s">
        <v>384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507</v>
      </c>
      <c r="B9" s="1">
        <f>O8</f>
        <v>5</v>
      </c>
      <c r="J9" s="15">
        <v>9</v>
      </c>
      <c r="K9" s="15">
        <v>4</v>
      </c>
    </row>
    <row r="10">
      <c r="A10" s="12" t="s">
        <v>508</v>
      </c>
      <c r="B10" s="13">
        <f>(((B4-(تسجيل2!C22*2))/200)+1)*B9</f>
        <v>32.5</v>
      </c>
      <c r="C10" s="638" t="s">
        <v>509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510</v>
      </c>
      <c r="B11" s="13">
        <f>E10/B9</f>
        <v>6.6</v>
      </c>
      <c r="C11" s="638" t="s">
        <v>509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453125" defaultRowHeight="15" x14ac:dyDescent="0.2"/>
  <cols>
    <col min="1" max="1" width="15.19921875" customWidth="1" style="1"/>
    <col min="2" max="2" width="12.10546875" customWidth="1" style="1"/>
    <col min="3" max="3" width="23.26953125" customWidth="1" style="1"/>
    <col min="4" max="16384" width="9.14453125" customWidth="1" style="1"/>
  </cols>
  <sheetData>
    <row r="1">
      <c r="A1" s="1" t="s">
        <v>363</v>
      </c>
      <c r="B1" s="1" t="s">
        <v>496</v>
      </c>
      <c r="C1" s="1" t="s">
        <v>512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513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514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515</v>
      </c>
      <c r="I7" s="788"/>
      <c r="J7" s="788"/>
      <c r="K7" s="789"/>
    </row>
    <row r="8">
      <c r="A8" s="4" t="s">
        <v>516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517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518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513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514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519</v>
      </c>
      <c r="I15" s="788"/>
      <c r="J15" s="788"/>
      <c r="K15" s="789"/>
    </row>
    <row r="16">
      <c r="A16" s="4" t="s">
        <v>516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517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518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453125" defaultRowHeight="15" x14ac:dyDescent="0.2"/>
  <cols>
    <col min="1" max="1" width="15.87109375" customWidth="1" style="10"/>
    <col min="2" max="2" width="18.0234375" customWidth="1" style="10"/>
    <col min="3" max="3" width="17.21875" customWidth="1" style="10"/>
    <col min="4" max="4" width="14.66015625" customWidth="1" style="10"/>
    <col min="5" max="5" width="15.87109375" customWidth="1" style="10"/>
    <col min="6" max="6" width="9.953125" customWidth="1" style="10"/>
    <col min="7" max="9" width="9.14453125" customWidth="1" style="10"/>
    <col min="10" max="10" width="7.3984375" customWidth="1" style="10"/>
    <col min="11" max="11" width="9.55078125" customWidth="1" style="10"/>
    <col min="12" max="12" width="11.703125" customWidth="1" style="10"/>
    <col min="13" max="13" width="9.14453125" customWidth="1" style="10"/>
    <col min="14" max="14" width="23.26953125" customWidth="1" style="1"/>
    <col min="15" max="15" width="22.328125" customWidth="1" style="10"/>
    <col min="16" max="16" width="13.71875" customWidth="1" style="10"/>
    <col min="17" max="16384" width="9.14453125" customWidth="1" style="10"/>
  </cols>
  <sheetData>
    <row r="1">
      <c r="A1" s="20" t="s">
        <v>363</v>
      </c>
      <c r="B1" s="20" t="s">
        <v>330</v>
      </c>
      <c r="C1" s="20" t="s">
        <v>332</v>
      </c>
      <c r="D1" s="20" t="s">
        <v>335</v>
      </c>
      <c r="E1" s="20" t="s">
        <v>336</v>
      </c>
      <c r="F1" s="20" t="s">
        <v>340</v>
      </c>
      <c r="G1" s="20" t="s">
        <v>345</v>
      </c>
      <c r="H1" s="20" t="s">
        <v>431</v>
      </c>
      <c r="I1" s="20" t="s">
        <v>342</v>
      </c>
      <c r="J1" s="761" t="s">
        <v>432</v>
      </c>
      <c r="K1" s="762"/>
      <c r="L1" s="762"/>
      <c r="M1" s="763"/>
      <c r="N1" s="20" t="s">
        <v>433</v>
      </c>
      <c r="O1" s="20" t="s">
        <v>342</v>
      </c>
      <c r="P1" s="20" t="s">
        <v>434</v>
      </c>
    </row>
    <row r="2">
      <c r="A2" s="21" t="s">
        <v>435</v>
      </c>
      <c r="B2" s="21" t="s">
        <v>436</v>
      </c>
      <c r="C2" s="21" t="s">
        <v>436</v>
      </c>
      <c r="D2" s="21" t="s">
        <v>437</v>
      </c>
      <c r="E2" s="21" t="s">
        <v>438</v>
      </c>
      <c r="F2" s="21" t="s">
        <v>439</v>
      </c>
      <c r="G2" s="21" t="s">
        <v>439</v>
      </c>
      <c r="H2" s="21" t="s">
        <v>439</v>
      </c>
      <c r="I2" s="21" t="s">
        <v>438</v>
      </c>
      <c r="J2" s="4" t="s">
        <v>356</v>
      </c>
      <c r="K2" s="1" t="s">
        <v>357</v>
      </c>
      <c r="L2" s="1" t="s">
        <v>440</v>
      </c>
      <c r="M2" s="18" t="s">
        <v>337</v>
      </c>
      <c r="N2" s="21" t="s">
        <v>441</v>
      </c>
      <c r="O2" s="21" t="s">
        <v>442</v>
      </c>
      <c r="P2" s="21" t="s">
        <v>439</v>
      </c>
    </row>
    <row r="3">
      <c r="A3" s="21" t="s">
        <v>443</v>
      </c>
      <c r="B3" s="21" t="s">
        <v>444</v>
      </c>
      <c r="C3" s="21" t="s">
        <v>444</v>
      </c>
      <c r="D3" s="21" t="s">
        <v>445</v>
      </c>
      <c r="E3" s="21" t="s">
        <v>446</v>
      </c>
      <c r="F3" s="21" t="s">
        <v>438</v>
      </c>
      <c r="G3" s="21" t="s">
        <v>438</v>
      </c>
      <c r="H3" s="21" t="s">
        <v>438</v>
      </c>
      <c r="I3" s="21" t="s">
        <v>447</v>
      </c>
      <c r="J3" s="49">
        <v>-2</v>
      </c>
      <c r="K3" s="10">
        <v>-5</v>
      </c>
      <c r="L3" s="10">
        <v>-5</v>
      </c>
      <c r="M3" s="18">
        <v>-2</v>
      </c>
      <c r="N3" s="21" t="s">
        <v>448</v>
      </c>
      <c r="O3" s="21" t="s">
        <v>449</v>
      </c>
      <c r="P3" s="21" t="s">
        <v>438</v>
      </c>
    </row>
    <row r="4">
      <c r="A4" s="21" t="s">
        <v>450</v>
      </c>
      <c r="B4" s="21" t="s">
        <v>451</v>
      </c>
      <c r="C4" s="21" t="s">
        <v>452</v>
      </c>
      <c r="D4" s="21">
        <v>1</v>
      </c>
      <c r="E4" s="21" t="s">
        <v>453</v>
      </c>
      <c r="F4" s="21">
        <v>1</v>
      </c>
      <c r="G4" s="21">
        <v>1</v>
      </c>
      <c r="H4" s="21">
        <v>2</v>
      </c>
      <c r="I4" s="21" t="s">
        <v>454</v>
      </c>
      <c r="J4" s="49">
        <v>-1</v>
      </c>
      <c r="K4" s="10">
        <v>-4</v>
      </c>
      <c r="L4" s="10">
        <v>-4</v>
      </c>
      <c r="M4" s="18">
        <v>-1</v>
      </c>
      <c r="N4" s="21" t="s">
        <v>455</v>
      </c>
      <c r="O4" s="21">
        <v>1</v>
      </c>
      <c r="P4" s="21" t="s">
        <v>456</v>
      </c>
    </row>
    <row r="5">
      <c r="A5" s="21" t="s">
        <v>457</v>
      </c>
      <c r="B5" s="21">
        <v>1</v>
      </c>
      <c r="C5" s="21" t="s">
        <v>458</v>
      </c>
      <c r="D5" s="21"/>
      <c r="E5" s="21" t="s">
        <v>459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460</v>
      </c>
      <c r="O5" s="21"/>
      <c r="P5" s="21">
        <v>1</v>
      </c>
    </row>
    <row r="6">
      <c r="A6" s="21" t="s">
        <v>461</v>
      </c>
      <c r="B6" s="21"/>
      <c r="C6" s="21" t="s">
        <v>462</v>
      </c>
      <c r="D6" s="21"/>
      <c r="E6" s="21" t="s">
        <v>463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464</v>
      </c>
      <c r="O6" s="21"/>
      <c r="P6" s="21"/>
    </row>
    <row r="7">
      <c r="A7" s="21">
        <v>2</v>
      </c>
      <c r="B7" s="21"/>
      <c r="C7" s="21" t="s">
        <v>451</v>
      </c>
      <c r="D7" s="21"/>
      <c r="E7" s="21" t="s">
        <v>465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466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467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468</v>
      </c>
      <c r="D17" s="765"/>
      <c r="E17" s="765"/>
      <c r="F17" s="766"/>
      <c r="G17" s="1"/>
      <c r="H17" s="1"/>
      <c r="I17" s="1"/>
    </row>
    <row r="18">
      <c r="A18" s="26" t="s">
        <v>469</v>
      </c>
      <c r="B18" s="27">
        <f>تسجيل1!C7</f>
        <v>500</v>
      </c>
      <c r="C18" s="28" t="s">
        <v>470</v>
      </c>
      <c r="D18" s="28"/>
      <c r="E18" s="28"/>
      <c r="F18" s="25"/>
      <c r="G18" s="1"/>
      <c r="H18" s="1"/>
      <c r="I18" s="1"/>
    </row>
    <row r="19">
      <c r="A19" s="29" t="s">
        <v>471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472</v>
      </c>
      <c r="B29" s="768"/>
      <c r="C29" s="768"/>
      <c r="D29" s="768"/>
      <c r="E29" s="768"/>
      <c r="F29" s="768"/>
      <c r="G29" s="768"/>
      <c r="H29" s="769"/>
      <c r="I29" s="767" t="s">
        <v>473</v>
      </c>
      <c r="J29" s="768"/>
      <c r="K29" s="768"/>
      <c r="L29" s="768"/>
      <c r="M29" s="768"/>
      <c r="N29" s="768"/>
      <c r="O29" s="768"/>
      <c r="P29" s="769"/>
      <c r="Q29" s="767" t="s">
        <v>474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475</v>
      </c>
      <c r="B31" s="756"/>
      <c r="C31" s="36">
        <f>B19</f>
        <v>800</v>
      </c>
      <c r="D31" s="34" t="s">
        <v>476</v>
      </c>
      <c r="E31" s="36">
        <f>H34</f>
        <v>12</v>
      </c>
      <c r="F31" s="34"/>
      <c r="G31" s="34"/>
      <c r="H31" s="35"/>
      <c r="I31" s="755" t="s">
        <v>475</v>
      </c>
      <c r="J31" s="756"/>
      <c r="K31" s="36">
        <f>B19</f>
        <v>800</v>
      </c>
      <c r="L31" s="34" t="s">
        <v>476</v>
      </c>
      <c r="M31" s="36">
        <f>P34</f>
        <v>10</v>
      </c>
      <c r="N31" s="15"/>
      <c r="O31" s="34"/>
      <c r="P31" s="35"/>
      <c r="Q31" s="757" t="s">
        <v>475</v>
      </c>
      <c r="R31" s="758"/>
      <c r="S31" s="57">
        <f>B19</f>
        <v>800</v>
      </c>
      <c r="T31" s="47" t="s">
        <v>477</v>
      </c>
      <c r="U31" s="57">
        <f>INT((S31-4)/25)+1</f>
        <v>32</v>
      </c>
      <c r="V31" s="47"/>
      <c r="W31" s="47"/>
      <c r="X31" s="48"/>
    </row>
    <row r="32">
      <c r="A32" s="759" t="s">
        <v>476</v>
      </c>
      <c r="B32" s="760"/>
      <c r="C32" s="760"/>
      <c r="D32" s="34"/>
      <c r="E32" s="34"/>
      <c r="F32" s="38"/>
      <c r="G32" s="34"/>
      <c r="H32" s="35"/>
      <c r="I32" s="759" t="s">
        <v>478</v>
      </c>
      <c r="J32" s="760"/>
      <c r="K32" s="760"/>
      <c r="L32" s="34"/>
      <c r="M32" s="34"/>
      <c r="N32" s="54"/>
      <c r="O32" s="34"/>
      <c r="P32" s="35"/>
    </row>
    <row r="33">
      <c r="A33" s="39" t="s">
        <v>479</v>
      </c>
      <c r="B33" s="40" t="s">
        <v>480</v>
      </c>
      <c r="C33" s="40" t="s">
        <v>481</v>
      </c>
      <c r="D33" s="34"/>
      <c r="E33" s="40" t="s">
        <v>479</v>
      </c>
      <c r="F33" s="40" t="s">
        <v>480</v>
      </c>
      <c r="G33" s="40" t="s">
        <v>481</v>
      </c>
      <c r="H33" s="35"/>
      <c r="I33" s="39" t="s">
        <v>479</v>
      </c>
      <c r="J33" s="40" t="s">
        <v>480</v>
      </c>
      <c r="K33" s="40" t="s">
        <v>481</v>
      </c>
      <c r="L33" s="34"/>
      <c r="M33" s="40" t="s">
        <v>479</v>
      </c>
      <c r="N33" s="37" t="s">
        <v>480</v>
      </c>
      <c r="O33" s="40" t="s">
        <v>481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483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483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484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484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485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485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486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486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453125" defaultRowHeight="15" x14ac:dyDescent="0.2"/>
  <cols>
    <col min="1" max="2" width="9.14453125" customWidth="1" style="10"/>
    <col min="3" max="3" width="25.828125" customWidth="1" style="10"/>
    <col min="4" max="4" width="11.43359375" customWidth="1" style="1"/>
    <col min="5" max="5" width="11.703125" customWidth="1" style="1"/>
    <col min="6" max="6" width="11.97265625" customWidth="1" style="1"/>
    <col min="7" max="7" width="10.625" customWidth="1" style="1"/>
    <col min="8" max="9" width="9.14453125" customWidth="1" style="10"/>
    <col min="10" max="10" width="11.97265625" customWidth="1" style="10"/>
    <col min="11" max="11" width="9.14453125" customWidth="1" style="1"/>
    <col min="12" max="16384" width="9.14453125" customWidth="1" style="10"/>
  </cols>
  <sheetData>
    <row r="1">
      <c r="A1" s="770" t="s">
        <v>487</v>
      </c>
      <c r="B1" s="771"/>
      <c r="C1" s="17"/>
      <c r="D1" s="3" t="s">
        <v>488</v>
      </c>
      <c r="E1" s="3" t="s">
        <v>489</v>
      </c>
      <c r="F1" s="3" t="s">
        <v>490</v>
      </c>
      <c r="G1" s="3" t="s">
        <v>491</v>
      </c>
      <c r="H1" s="7" t="s">
        <v>492</v>
      </c>
    </row>
    <row r="2">
      <c r="A2" s="772"/>
      <c r="B2" s="773"/>
      <c r="C2" s="10" t="s">
        <v>493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494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495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496</v>
      </c>
      <c r="L5" s="10" t="s">
        <v>497</v>
      </c>
    </row>
    <row r="6">
      <c r="A6" s="772"/>
      <c r="B6" s="773"/>
      <c r="C6" s="10" t="s">
        <v>498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499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500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501</v>
      </c>
      <c r="B10" s="777"/>
      <c r="C10" s="17"/>
      <c r="D10" s="3" t="s">
        <v>488</v>
      </c>
      <c r="E10" s="3" t="s">
        <v>489</v>
      </c>
      <c r="F10" s="3" t="s">
        <v>490</v>
      </c>
      <c r="G10" s="3" t="s">
        <v>491</v>
      </c>
      <c r="H10" s="7" t="s">
        <v>492</v>
      </c>
    </row>
    <row r="11">
      <c r="A11" s="778"/>
      <c r="B11" s="779"/>
      <c r="C11" s="10" t="s">
        <v>493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494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495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496</v>
      </c>
      <c r="L13" s="10" t="s">
        <v>497</v>
      </c>
    </row>
    <row r="14">
      <c r="A14" s="778"/>
      <c r="B14" s="779"/>
      <c r="H14" s="18"/>
      <c r="J14" s="10" t="s">
        <v>499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498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471</v>
      </c>
      <c r="R15" s="10" t="s">
        <v>502</v>
      </c>
    </row>
    <row r="16">
      <c r="A16" s="780"/>
      <c r="B16" s="781"/>
      <c r="C16" s="19" t="s">
        <v>500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503</v>
      </c>
      <c r="B19" s="783"/>
      <c r="C19" s="17"/>
      <c r="D19" s="3" t="s">
        <v>488</v>
      </c>
      <c r="E19" s="3" t="s">
        <v>489</v>
      </c>
      <c r="F19" s="3" t="s">
        <v>490</v>
      </c>
      <c r="G19" s="3" t="s">
        <v>491</v>
      </c>
      <c r="H19" s="7" t="s">
        <v>492</v>
      </c>
    </row>
    <row r="20">
      <c r="A20" s="784"/>
      <c r="B20" s="785"/>
      <c r="C20" s="10" t="s">
        <v>493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494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495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496</v>
      </c>
      <c r="L22" s="10" t="s">
        <v>497</v>
      </c>
    </row>
    <row r="23">
      <c r="A23" s="784"/>
      <c r="B23" s="785"/>
      <c r="H23" s="18"/>
      <c r="J23" s="10" t="s">
        <v>499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498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500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453125" defaultRowHeight="15" x14ac:dyDescent="0.2"/>
  <cols>
    <col min="1" max="1" width="20.71484375" customWidth="1" style="10"/>
    <col min="2" max="2" width="11.97265625" customWidth="1" style="1"/>
    <col min="3" max="9" width="9.14453125" customWidth="1" style="10"/>
    <col min="10" max="10" width="9.55078125" customWidth="1" style="10"/>
    <col min="11" max="11" width="20.58203125" customWidth="1" style="10"/>
    <col min="12" max="12" width="9.14453125" customWidth="1" style="1"/>
    <col min="13" max="14" width="9.14453125" customWidth="1" style="10"/>
    <col min="15" max="15" width="32.5546875" customWidth="1" style="10"/>
    <col min="16" max="16384" width="9.14453125" customWidth="1" style="10"/>
  </cols>
  <sheetData>
    <row r="1">
      <c r="A1" s="1"/>
    </row>
    <row r="2">
      <c r="A2" s="1"/>
      <c r="J2" s="1" t="s">
        <v>382</v>
      </c>
      <c r="K2" s="1" t="s">
        <v>504</v>
      </c>
      <c r="O2" s="1" t="s">
        <v>505</v>
      </c>
    </row>
    <row r="3">
      <c r="A3" s="1" t="s">
        <v>363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506</v>
      </c>
      <c r="B4" s="1">
        <f>تسجيل1!C7</f>
        <v>500</v>
      </c>
      <c r="J4" s="15">
        <v>4</v>
      </c>
      <c r="K4" s="15">
        <v>2</v>
      </c>
    </row>
    <row r="5">
      <c r="A5" s="1" t="s">
        <v>496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382</v>
      </c>
      <c r="B6" s="1">
        <f>'Cutting Ro-1'!L14</f>
        <v>12</v>
      </c>
      <c r="C6" s="1" t="s">
        <v>384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507</v>
      </c>
      <c r="B9" s="1">
        <f>O8</f>
        <v>5</v>
      </c>
      <c r="J9" s="15">
        <v>9</v>
      </c>
      <c r="K9" s="15">
        <v>4</v>
      </c>
    </row>
    <row r="10">
      <c r="A10" s="12" t="s">
        <v>508</v>
      </c>
      <c r="B10" s="13">
        <f>(((B4-(تسجيل1!C22*2))/200)+1)*B9</f>
        <v>15</v>
      </c>
      <c r="C10" s="638" t="s">
        <v>509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510</v>
      </c>
      <c r="B11" s="13">
        <f>E10/B9</f>
        <v>3</v>
      </c>
      <c r="C11" s="638" t="s">
        <v>509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N186"/>
  <sheetViews>
    <sheetView rightToLeft="1" topLeftCell="AF1" zoomScale="40" zoomScaleNormal="40" zoomScaleSheetLayoutView="70" zoomScalePageLayoutView="25" workbookViewId="0">
      <selection activeCell="AE10" sqref="AE10:AQ16"/>
    </sheetView>
  </sheetViews>
  <sheetFormatPr defaultColWidth="9.01171875" defaultRowHeight="15" x14ac:dyDescent="0.2"/>
  <cols>
    <col min="1" max="1" width="4.70703125" customWidth="1"/>
    <col min="2" max="4" width="20.58203125" customWidth="1"/>
    <col min="5" max="5" width="4.5703125" customWidth="1"/>
    <col min="6" max="8" width="20.58203125" customWidth="1"/>
    <col min="9" max="9" width="4.5703125" customWidth="1"/>
    <col min="10" max="12" width="20.58203125" customWidth="1" style="416"/>
    <col min="13" max="13" width="5.109375" customWidth="1" style="416"/>
    <col min="14" max="16" width="20.58203125" customWidth="1" style="416"/>
    <col min="17" max="17" width="6.1875" customWidth="1" style="416"/>
    <col min="18" max="18" width="61.609375" customWidth="1" style="416"/>
    <col min="19" max="19" width="24.88671875" customWidth="1"/>
    <col min="20" max="20" width="27.171875" customWidth="1"/>
    <col min="21" max="21" width="24.88671875" customWidth="1"/>
    <col min="22" max="22" width="28.3828125" customWidth="1"/>
    <col min="23" max="26" width="24.88671875" customWidth="1"/>
    <col min="27" max="27" width="26.23046875" customWidth="1"/>
    <col min="28" max="28" width="20.71484375" customWidth="1"/>
    <col min="29" max="29" width="19.50390625" customWidth="1"/>
    <col min="30" max="30" width="61.4765625" customWidth="1"/>
    <col min="31" max="31" width="5.24609375" customWidth="1"/>
    <col min="32" max="33" width="23" customWidth="1"/>
    <col min="34" max="34" width="24.6171875" customWidth="1"/>
    <col min="35" max="42" width="23" customWidth="1"/>
    <col min="43" max="43" width="10.0859375" customWidth="1"/>
    <col min="44" max="44" width="61.4765625" customWidth="1"/>
    <col min="45" max="53" width="24.34765625" customWidth="1"/>
    <col min="54" max="54" width="26.6328125" customWidth="1"/>
    <col min="55" max="55" width="7.53125" customWidth="1" style="417"/>
    <col min="56" max="66" width="24.617187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555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556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557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558</v>
      </c>
      <c r="T2" s="422">
        <f>IF((V14="ok"),Royal!G80,"R")</f>
        <v>270834.89835768339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558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558</v>
      </c>
      <c r="AT2" s="476">
        <f>IF((AV14="OK"),wavy1!R72,"R")</f>
        <v>74732.2532894737</v>
      </c>
      <c r="AU2" s="423"/>
      <c r="AV2" s="418"/>
      <c r="AW2" s="418"/>
      <c r="AX2" s="418"/>
      <c r="AY2" s="418"/>
      <c r="AZ2" s="418"/>
      <c r="BA2" s="418"/>
      <c r="BB2" s="418"/>
      <c r="BD2" s="490" t="s">
        <v>558</v>
      </c>
      <c r="BE2" s="490">
        <f>IF((BG14="OK"),wavy2!R72,"R")</f>
        <v>100098.76545614036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6770.8724589420844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5978.5802631578954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2859.9647273182959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559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559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559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521</v>
      </c>
      <c r="T5" s="535" t="s">
        <v>525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521</v>
      </c>
      <c r="AT5" s="545" t="s">
        <v>527</v>
      </c>
      <c r="AU5" s="428"/>
      <c r="AV5" s="428"/>
      <c r="AW5" s="428"/>
      <c r="AX5" s="428"/>
      <c r="AY5" s="428"/>
      <c r="AZ5" s="428"/>
      <c r="BA5" s="428"/>
      <c r="BB5" s="416"/>
      <c r="BD5" s="493" t="s">
        <v>521</v>
      </c>
      <c r="BE5" s="546" t="s">
        <v>527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522</v>
      </c>
      <c r="T6" s="534" t="s">
        <v>228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560</v>
      </c>
      <c r="AJ6" s="469" t="s">
        <v>561</v>
      </c>
      <c r="AK6" s="470" t="s">
        <v>562</v>
      </c>
      <c r="AL6" s="469" t="s">
        <v>287</v>
      </c>
      <c r="AM6" s="469" t="s">
        <v>563</v>
      </c>
      <c r="AN6" s="471" t="s">
        <v>564</v>
      </c>
      <c r="AO6" s="618" t="s">
        <v>565</v>
      </c>
      <c r="AP6" s="619"/>
      <c r="AQ6" s="418"/>
      <c r="AR6" s="417"/>
      <c r="AS6" s="431" t="s">
        <v>522</v>
      </c>
      <c r="AT6" s="432" t="s">
        <v>228</v>
      </c>
      <c r="AU6" s="478"/>
      <c r="AV6" s="478"/>
      <c r="AW6" s="478"/>
      <c r="AX6" s="478"/>
      <c r="AY6" s="478"/>
      <c r="AZ6" s="478"/>
      <c r="BA6" s="478"/>
      <c r="BB6" s="478"/>
      <c r="BD6" s="493" t="s">
        <v>522</v>
      </c>
      <c r="BE6" s="498" t="s">
        <v>224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566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251</v>
      </c>
      <c r="AJ8" s="473" t="s">
        <v>220</v>
      </c>
      <c r="AK8" s="473">
        <v>2.5</v>
      </c>
      <c r="AL8" s="473" t="s">
        <v>228</v>
      </c>
      <c r="AM8" s="473" t="s">
        <v>202</v>
      </c>
      <c r="AN8" s="474" t="s">
        <v>258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567</v>
      </c>
      <c r="AT9" s="427" t="s">
        <v>183</v>
      </c>
      <c r="AU9" s="478"/>
      <c r="AV9" s="478"/>
      <c r="AW9" s="478"/>
      <c r="AX9" s="478"/>
      <c r="AY9" s="478"/>
      <c r="AZ9" s="478"/>
      <c r="BA9" s="478"/>
      <c r="BB9" s="478"/>
      <c r="BD9" s="426" t="s">
        <v>567</v>
      </c>
      <c r="BE9" s="427" t="s">
        <v>183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520</v>
      </c>
      <c r="T10" s="427" t="s">
        <v>524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568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520</v>
      </c>
      <c r="AT10" s="427" t="s">
        <v>524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520</v>
      </c>
      <c r="BE10" s="427" t="s">
        <v>524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569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569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569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570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570</v>
      </c>
      <c r="AT13" s="441"/>
      <c r="AU13" s="478"/>
      <c r="AV13" s="478"/>
      <c r="AW13" s="478"/>
      <c r="AX13" s="478"/>
      <c r="AY13" s="478"/>
      <c r="AZ13" s="478"/>
      <c r="BA13" s="478" t="s">
        <v>571</v>
      </c>
      <c r="BB13" s="478"/>
      <c r="BC13" s="417"/>
      <c r="BD13" s="495" t="s">
        <v>570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572</v>
      </c>
      <c r="T14" s="537"/>
      <c r="U14" s="500" t="s">
        <v>528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572</v>
      </c>
      <c r="AT14" s="441"/>
      <c r="AU14" s="437" t="s">
        <v>528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572</v>
      </c>
      <c r="BE14" s="495"/>
      <c r="BF14" s="500" t="s">
        <v>526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573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574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575</v>
      </c>
      <c r="AT21" s="419"/>
      <c r="AU21" s="482"/>
      <c r="AW21" s="488"/>
      <c r="BC21" s="417"/>
      <c r="BD21" s="419" t="s">
        <v>576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558</v>
      </c>
      <c r="T22" s="446">
        <f>Royal2!G85</f>
        <v>499047.69486905081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558</v>
      </c>
      <c r="AF22" s="595"/>
      <c r="AG22" s="596">
        <f>'شماسي و كانتليفر'!AE12</f>
        <v>26571.675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558</v>
      </c>
      <c r="AT22" s="476">
        <f>'بيرسا و لوفرز'!R69</f>
        <v>298787.25</v>
      </c>
      <c r="AU22" s="483"/>
      <c r="BC22" s="417"/>
      <c r="BD22" s="475" t="s">
        <v>558</v>
      </c>
      <c r="BE22" s="476">
        <f>'بيرسا و لوفرز'!R140</f>
        <v>333386.25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5198.4134882192793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14939.3625</v>
      </c>
      <c r="AU23" s="483"/>
      <c r="AV23" s="484"/>
      <c r="BC23" s="417"/>
      <c r="BD23" s="475" t="s">
        <v>127</v>
      </c>
      <c r="BE23" s="477">
        <f>BE22/(BE33*BE34/10000)</f>
        <v>16669.3125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559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559</v>
      </c>
      <c r="AT24" s="427" t="s">
        <v>16</v>
      </c>
      <c r="BC24" s="417"/>
      <c r="BD24" s="429" t="s">
        <v>559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521</v>
      </c>
      <c r="T25" s="449" t="s">
        <v>527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521</v>
      </c>
      <c r="AT25" s="430" t="s">
        <v>525</v>
      </c>
      <c r="AW25" s="496">
        <f>AT34</f>
        <v>500</v>
      </c>
      <c r="BD25" s="429" t="s">
        <v>521</v>
      </c>
      <c r="BE25" s="430" t="s">
        <v>527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522</v>
      </c>
      <c r="T26" s="450" t="s">
        <v>228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560</v>
      </c>
      <c r="AH26" s="603" t="s">
        <v>194</v>
      </c>
      <c r="AI26" s="582" t="s">
        <v>287</v>
      </c>
      <c r="AJ26" s="582" t="s">
        <v>563</v>
      </c>
      <c r="AK26" s="582" t="s">
        <v>564</v>
      </c>
      <c r="AL26" s="593" t="s">
        <v>565</v>
      </c>
      <c r="AM26" s="593"/>
      <c r="AN26" s="418"/>
      <c r="AO26" s="418"/>
      <c r="AP26" s="418"/>
      <c r="AQ26" s="418"/>
      <c r="AR26" s="417"/>
      <c r="AS26" s="431" t="s">
        <v>522</v>
      </c>
      <c r="AT26" s="432" t="s">
        <v>224</v>
      </c>
      <c r="BD26" s="431" t="s">
        <v>522</v>
      </c>
      <c r="BE26" s="432" t="s">
        <v>224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251</v>
      </c>
      <c r="AH28" s="580" t="s">
        <v>210</v>
      </c>
      <c r="AI28" s="580" t="s">
        <v>228</v>
      </c>
      <c r="AJ28" s="580" t="s">
        <v>211</v>
      </c>
      <c r="AK28" s="580" t="s">
        <v>258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567</v>
      </c>
      <c r="AT29" s="486" t="s">
        <v>183</v>
      </c>
      <c r="BD29" s="426" t="s">
        <v>567</v>
      </c>
      <c r="BE29" s="486" t="s">
        <v>183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577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520</v>
      </c>
      <c r="AT30" s="486" t="s">
        <v>524</v>
      </c>
      <c r="AV30" s="487"/>
      <c r="AW30" s="488"/>
      <c r="AX30" s="488"/>
      <c r="AY30" s="488"/>
      <c r="AZ30" s="488"/>
      <c r="BD30" s="426" t="s">
        <v>520</v>
      </c>
      <c r="BE30" s="486" t="s">
        <v>524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578</v>
      </c>
      <c r="T31" s="453"/>
      <c r="U31" s="454" t="s">
        <v>524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579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569</v>
      </c>
      <c r="T32" s="456" t="s">
        <v>526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569</v>
      </c>
      <c r="AT32" s="437" t="s">
        <v>526</v>
      </c>
      <c r="BA32" s="487"/>
      <c r="BD32" s="441" t="s">
        <v>569</v>
      </c>
      <c r="BE32" s="437" t="s">
        <v>526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570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570</v>
      </c>
      <c r="AT33" s="441">
        <v>400</v>
      </c>
      <c r="BA33" s="0" t="s">
        <v>571</v>
      </c>
      <c r="BD33" s="441" t="s">
        <v>570</v>
      </c>
      <c r="BE33" s="441">
        <v>400</v>
      </c>
      <c r="BL33" s="0" t="s">
        <v>571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572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572</v>
      </c>
      <c r="AT34" s="441">
        <v>500</v>
      </c>
      <c r="AU34" s="489"/>
      <c r="AZ34" s="605"/>
      <c r="BA34" s="605"/>
      <c r="BB34" s="605"/>
      <c r="BD34" s="441" t="s">
        <v>572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530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187987.5</v>
      </c>
      <c r="AT37" s="611"/>
      <c r="BD37" s="610">
        <f>('بيرسا و لوفرز'!F96+'بيرسا و لوفرز'!V126+'بيرسا و لوفرز'!V134)*1.35</f>
        <v>187987.5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9399.375</v>
      </c>
      <c r="AT38" s="611"/>
      <c r="BD38" s="610">
        <f>BD37/(BE33*BE34/10000)</f>
        <v>9399.375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580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581</v>
      </c>
      <c r="AT41" s="612"/>
      <c r="AU41" s="612"/>
      <c r="AW41" s="488"/>
      <c r="BD41" s="419" t="s">
        <v>582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583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558</v>
      </c>
      <c r="AT42" s="476">
        <f>'بيرسا و لوفرز'!BM68</f>
        <v>193337.495</v>
      </c>
      <c r="AU42" s="483"/>
      <c r="BD42" s="475" t="s">
        <v>558</v>
      </c>
      <c r="BE42" s="476">
        <f>'بيرسا و لوفرز'!BM139</f>
        <v>205134.88666666666</v>
      </c>
      <c r="BF42" s="483"/>
      <c r="BN42" s="418"/>
    </row>
    <row r="43" ht="42" customHeight="1">
      <c r="A43" s="590" t="s">
        <v>584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558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9666.874749999999</v>
      </c>
      <c r="AU43" s="483"/>
      <c r="AV43" s="484"/>
      <c r="BD43" s="475" t="s">
        <v>127</v>
      </c>
      <c r="BE43" s="477">
        <f>BE42/(BE53*BE54/10000)</f>
        <v>10256.744333333332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559</v>
      </c>
      <c r="AT44" s="427" t="s">
        <v>44</v>
      </c>
      <c r="BD44" s="429" t="s">
        <v>559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559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521</v>
      </c>
      <c r="AT45" s="430" t="s">
        <v>525</v>
      </c>
      <c r="AZ45" s="496">
        <f>AT53</f>
        <v>500</v>
      </c>
      <c r="BD45" s="429" t="s">
        <v>521</v>
      </c>
      <c r="BE45" s="430" t="s">
        <v>525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521</v>
      </c>
      <c r="T46" s="449" t="s">
        <v>525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522</v>
      </c>
      <c r="AT46" s="432" t="s">
        <v>224</v>
      </c>
      <c r="AX46" s="496">
        <f>AT54</f>
        <v>400</v>
      </c>
      <c r="BD46" s="431" t="s">
        <v>522</v>
      </c>
      <c r="BE46" s="432" t="s">
        <v>224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585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567</v>
      </c>
      <c r="AT49" s="486" t="s">
        <v>183</v>
      </c>
      <c r="BD49" s="426" t="s">
        <v>567</v>
      </c>
      <c r="BE49" s="486" t="s">
        <v>183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520</v>
      </c>
      <c r="AT50" s="486" t="s">
        <v>524</v>
      </c>
      <c r="AV50" s="487"/>
      <c r="AW50" s="488"/>
      <c r="AX50" s="488"/>
      <c r="AY50" s="488"/>
      <c r="AZ50" s="488"/>
      <c r="BD50" s="426" t="s">
        <v>520</v>
      </c>
      <c r="BE50" s="486" t="s">
        <v>524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586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587</v>
      </c>
      <c r="T52" s="462" t="s">
        <v>255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569</v>
      </c>
      <c r="AT52" s="437" t="s">
        <v>526</v>
      </c>
      <c r="BA52" s="487"/>
      <c r="BD52" s="441" t="s">
        <v>569</v>
      </c>
      <c r="BE52" s="437" t="s">
        <v>526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569</v>
      </c>
      <c r="T53" s="456" t="s">
        <v>528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570</v>
      </c>
      <c r="AT53" s="441">
        <v>500</v>
      </c>
      <c r="BA53" s="0" t="s">
        <v>571</v>
      </c>
      <c r="BD53" s="441" t="s">
        <v>570</v>
      </c>
      <c r="BE53" s="441">
        <v>500</v>
      </c>
      <c r="BL53" s="0" t="s">
        <v>571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570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572</v>
      </c>
      <c r="AT54" s="441">
        <v>400</v>
      </c>
      <c r="AU54" s="489"/>
      <c r="AZ54" s="605"/>
      <c r="BA54" s="605"/>
      <c r="BB54" s="605"/>
      <c r="BD54" s="441" t="s">
        <v>572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572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128697.52500000001</v>
      </c>
      <c r="AT57" s="609"/>
      <c r="BD57" s="608">
        <f>('بيرسا و لوفرز'!BA85+'بيرسا و لوفرز'!BP133+'بيرسا و لوفرز'!BQ125)*1.35</f>
        <v>128697.52500000001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6434.87625</v>
      </c>
      <c r="AT58" s="600"/>
      <c r="BD58" s="599">
        <f>BD57/(BE53*BE54/10000)</f>
        <v>6434.87625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588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583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558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559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521</v>
      </c>
      <c r="T64" s="449" t="s">
        <v>525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585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586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587</v>
      </c>
      <c r="T70" s="462" t="s">
        <v>255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569</v>
      </c>
      <c r="T71" s="456" t="s">
        <v>528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570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572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589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590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453125" defaultRowHeight="15" x14ac:dyDescent="0.2"/>
  <cols>
    <col min="1" max="1" width="15.19921875" customWidth="1" style="1"/>
    <col min="2" max="2" width="12.10546875" customWidth="1" style="1"/>
    <col min="3" max="3" width="23.26953125" customWidth="1" style="1"/>
    <col min="4" max="16384" width="9.14453125" customWidth="1" style="1"/>
  </cols>
  <sheetData>
    <row r="1">
      <c r="A1" s="1" t="s">
        <v>363</v>
      </c>
      <c r="B1" s="1" t="s">
        <v>496</v>
      </c>
      <c r="C1" s="1" t="s">
        <v>512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513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514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515</v>
      </c>
      <c r="I7" s="788"/>
      <c r="J7" s="788"/>
      <c r="K7" s="789"/>
    </row>
    <row r="8">
      <c r="A8" s="4" t="s">
        <v>516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517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518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513</v>
      </c>
      <c r="C14" s="1">
        <f>IF(Format!N8=1,B2,IF(Format!N8=2,'Format διαστασης οδηγου'!B2-11,"-------"))</f>
        <v>800</v>
      </c>
      <c r="K14" s="8"/>
    </row>
    <row r="15">
      <c r="A15" s="4" t="s">
        <v>514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519</v>
      </c>
      <c r="I15" s="788"/>
      <c r="J15" s="788"/>
      <c r="K15" s="789"/>
    </row>
    <row r="16">
      <c r="A16" s="4" t="s">
        <v>516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517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518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453125" defaultRowHeight="15" x14ac:dyDescent="0.2"/>
  <cols>
    <col min="1" max="1" width="8.47265625" customWidth="1" style="207"/>
    <col min="2" max="2" width="10.625" customWidth="1" style="207"/>
    <col min="3" max="3" width="45.33203125" customWidth="1" style="372"/>
    <col min="4" max="4" width="13.98828125" customWidth="1" style="207"/>
    <col min="5" max="5" width="12.64453125" customWidth="1" style="207"/>
    <col min="6" max="6" width="13.71875" customWidth="1" style="207"/>
    <col min="7" max="7" width="15.33203125" customWidth="1" style="233"/>
    <col min="8" max="8" width="15.33203125" customWidth="1" style="407"/>
    <col min="9" max="9" width="9.81640625" customWidth="1" style="233"/>
    <col min="10" max="10" width="14.9296875" customWidth="1" style="233"/>
    <col min="11" max="11" width="15.87109375" customWidth="1" style="233"/>
    <col min="12" max="12" width="7.93359375" customWidth="1" style="233"/>
    <col min="13" max="13" width="9.14453125" customWidth="1" style="207"/>
    <col min="14" max="14" width="17.890625" customWidth="1" style="207"/>
    <col min="15" max="21" width="9.14453125" customWidth="1" style="207"/>
    <col min="22" max="22" width="22.1953125" customWidth="1" style="207"/>
    <col min="23" max="23" width="9.14453125" customWidth="1" style="207"/>
    <col min="24" max="24" width="14.9296875" customWidth="1" style="207"/>
    <col min="25" max="16384" width="9.144531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79000</v>
      </c>
      <c r="J2" s="232">
        <f>Sheet2!B14</f>
        <v>225000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45326.62488732639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591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0.024479858541878018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0.058904659616393983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0.030239825257614025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0.11362434341588602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592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591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593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15958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7979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0.00383997781049067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0.0035999791973350031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0.0016319905694585346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0.00035999791973350027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0.0014399916789340011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0.00043199750368020035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0.023999861315566685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0.00019199889052453348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0.014399916789340012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0.0028799833578680022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0.052775695032931141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0.00035999791973350027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0.00035999791973350027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0.00059999653288916714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0.0035999791973350031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0.00095999445262266747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0.0048775718147003365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0.0016711482379207752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0.013507121948400933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0.026371047613544678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0.052306855636880568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225</v>
      </c>
      <c r="J53" s="414">
        <f>Table1610[[#This Row],[سعر الكيلو]]*Table1610[[#This Row],[الوزن]]</f>
        <v>393.75</v>
      </c>
      <c r="K53" s="240">
        <f>B53*J53</f>
        <v>1575</v>
      </c>
      <c r="L53" s="241">
        <f>(Table1610[[#This Row],[اجمالي]])/$G$79</f>
        <v>0.0075599563144035063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0.015599909855118346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4825</v>
      </c>
      <c r="L55" s="244">
        <f>Table1610[[#Totals],[اجمالي]]/$G$79</f>
        <v>0.023159866169521853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2899.098582654874</v>
      </c>
      <c r="I58" s="247"/>
      <c r="J58" s="414">
        <f>IF((Table1611[[#This Row],[عدد]]&gt;0),'Cutting Ro-1'!O8,0)</f>
        <v>115963.94330619497</v>
      </c>
      <c r="K58" s="240">
        <f>B58*Table1611[[#This Row],[سعر البرجولا كاملة]]</f>
        <v>115963.94330619497</v>
      </c>
      <c r="L58" s="241">
        <f>(K58)/$G$79</f>
        <v>0.55662371139098343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115963.94330619497</v>
      </c>
      <c r="K59" s="240">
        <f>B59*Table1611[[#This Row],[سعر البرجولا كاملة]]</f>
        <v>11596.394330619498</v>
      </c>
      <c r="L59" s="241">
        <f>(K59)/$G$79</f>
        <v>0.055662371139098346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127560.33763681447</v>
      </c>
      <c r="L60" s="244">
        <f>Table1611[[#Totals],[اجمالي]]/$G$79</f>
        <v>0.61228608253008177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0.00383997781049067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0.0028799833578680022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0.0057599667157360044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0.0043199750368020035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0.018719891826142015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0.01403991886960651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0.018719891826142015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0.012671926774619211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0.019199889052453348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0.014399916789340012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0.02207987241032135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0.009215946745177608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0.14584715721469874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208334.53719821796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270834.89835768339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453125" defaultRowHeight="15" x14ac:dyDescent="0.2"/>
  <cols>
    <col min="1" max="1" width="4.5703125" customWidth="1" style="207"/>
    <col min="2" max="2" width="14.125" customWidth="1" style="207"/>
    <col min="3" max="3" width="45.19921875" customWidth="1" style="372"/>
    <col min="4" max="6" width="13.5859375" customWidth="1" style="207"/>
    <col min="7" max="7" width="28.515625" customWidth="1" style="233"/>
    <col min="8" max="8" width="25.01953125" customWidth="1" style="407"/>
    <col min="9" max="9" hidden="1" width="14.796875" customWidth="1" style="233"/>
    <col min="10" max="10" width="16.0078125" customWidth="1" style="233"/>
    <col min="11" max="11" width="15.46875" customWidth="1" style="233"/>
    <col min="12" max="12" width="11.02734375" customWidth="1" style="233"/>
    <col min="13" max="13" width="9.14453125" customWidth="1" style="207"/>
    <col min="14" max="14" width="17.890625" customWidth="1" style="207"/>
    <col min="15" max="23" width="9.14453125" customWidth="1" style="207"/>
    <col min="24" max="24" width="9.14453125" customWidth="1" style="207"/>
    <col min="25" max="25" width="50.30859375" customWidth="1" style="207"/>
    <col min="26" max="26" width="11.43359375" customWidth="1" style="207"/>
    <col min="27" max="27" width="19.7734375" customWidth="1" style="207"/>
    <col min="28" max="28" width="21.5234375" customWidth="1" style="207"/>
    <col min="29" max="16384" width="9.144531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79000</v>
      </c>
      <c r="J2" s="232">
        <f>Sheet2!B14</f>
        <v>225000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45326.624887349535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0.0083033145781533212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0.073069168287749231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0.016557786129376327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0.021881676064780517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0.11981194506005939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15958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7979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0.0031259537235400737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0.0026049614362833946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0.0011071086104204428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0.00058611632316376379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0.0025007629788320589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0.00031259537235400737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0.031259537235400738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0.0001041984574513358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0.0023444652926550551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0.043945699430100869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0.021881676064780517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0.00937786117062022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0.031259537235400738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0.00507967480075262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0.00046889305853101105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0.0001953721077212546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0.0001953721077212546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0.00065124035907084866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0.0019537210772125461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0.000520992287256679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0.018234730053983763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0.023444652926550555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0.0020839691490267161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0.0020839691490267161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0.05491258707685396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8.7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225</v>
      </c>
      <c r="J54" s="414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0.0051285178276829334</v>
      </c>
    </row>
    <row r="55" ht="18.7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0.084661246679210336</v>
      </c>
    </row>
    <row r="56" ht="18.7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34468.75</v>
      </c>
      <c r="L56" s="241">
        <f>Table161027[[#Totals],[اجمالي]]/$G$84</f>
        <v>0.089789764506893271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7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2105.7797557477479</v>
      </c>
      <c r="I59" s="247"/>
      <c r="J59" s="414">
        <f>IF((Table161128[[#This Row],[عدد]]&gt;0),'Cutting Ro-2'!O8,0)</f>
        <v>202154.8565517838</v>
      </c>
      <c r="K59" s="240">
        <f>Table161128[[#This Row],[عدد]]*Table161128[[#This Row],[سعر البرجولا كاملة]]</f>
        <v>202154.8565517838</v>
      </c>
      <c r="L59" s="241">
        <f>(K59)/$G$84</f>
        <v>0.5266056054747984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202154.8565517838</v>
      </c>
      <c r="K60" s="240">
        <f>Table161128[[#This Row],[عدد]]*Table161128[[#This Row],[سعر البرجولا كاملة]]</f>
        <v>20215.485655178381</v>
      </c>
      <c r="L60" s="241">
        <f>(K60)/$G$84</f>
        <v>0.052660560547479841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222370.34220696217</v>
      </c>
      <c r="L61" s="244">
        <f>Table161128[[#Totals],[اجمالي]]/$G$84</f>
        <v>0.57926616602227821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0.0031259537235400737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0.0015629768617700368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0.00468893058531011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0.0031259537235400737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0.01015934960150524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0.01015934960150524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0.01015934960150524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0.0068770981917881625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0.011722326463275277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0.0078148843088501844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0.0059914113034518083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0.005626716702372133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0.081014300668413572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383882.84220696217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499047.69486905081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453125" defaultRowHeight="15" x14ac:dyDescent="0.2"/>
  <cols>
    <col min="1" max="1" width="38.3359375" customWidth="1" style="1"/>
    <col min="2" max="3" width="13.046875" customWidth="1" style="1"/>
    <col min="4" max="4" width="11.02734375" customWidth="1" style="1"/>
    <col min="5" max="5" width="14.125" customWidth="1" style="1"/>
    <col min="6" max="6" width="19.90625" customWidth="1" style="1"/>
    <col min="7" max="7" width="5.51171875" customWidth="1" style="1"/>
    <col min="8" max="8" width="4.3046875" customWidth="1" style="1"/>
    <col min="9" max="9" width="4.03515625" customWidth="1" style="1"/>
    <col min="10" max="10" width="9.14453125" customWidth="1" style="1"/>
    <col min="11" max="11" width="9.14453125" customWidth="1" style="1"/>
    <col min="12" max="12" width="5.91796875" customWidth="1" style="1"/>
    <col min="13" max="13" width="15.19921875" customWidth="1" style="1"/>
    <col min="14" max="14" width="56.23046875" customWidth="1" style="1"/>
    <col min="15" max="17" width="9.14453125" customWidth="1" style="1"/>
    <col min="18" max="18" width="19.234375" customWidth="1" style="1"/>
    <col min="19" max="19" width="16.41015625" customWidth="1" style="1"/>
    <col min="20" max="20" width="20.71484375" customWidth="1" style="1"/>
    <col min="21" max="21" width="25.2890625" customWidth="1" style="1"/>
    <col min="22" max="22" width="16.8125" customWidth="1" style="1"/>
    <col min="23" max="23" width="18.16015625" customWidth="1" style="1"/>
    <col min="24" max="24" width="9.14453125" customWidth="1" style="1"/>
    <col min="25" max="25" width="14.52734375" customWidth="1" style="1"/>
    <col min="26" max="35" width="9.14453125" customWidth="1" style="1"/>
    <col min="36" max="36" width="55.15234375" customWidth="1" style="1"/>
    <col min="37" max="37" width="9.14453125" customWidth="1" style="1"/>
    <col min="38" max="38" width="16.6796875" customWidth="1" style="1"/>
    <col min="39" max="39" width="16.94921875" customWidth="1" style="1"/>
    <col min="40" max="16384" width="9.14453125" customWidth="1" style="1"/>
  </cols>
  <sheetData>
    <row r="1" ht="21">
      <c r="A1" s="393" t="s">
        <v>157</v>
      </c>
      <c r="B1" s="271">
        <f>(F1*D1)/10000</f>
        <v>12.5</v>
      </c>
      <c r="C1" s="272" t="s">
        <v>158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159</v>
      </c>
      <c r="B2" s="187" t="s">
        <v>160</v>
      </c>
      <c r="C2" s="187" t="s">
        <v>161</v>
      </c>
      <c r="D2" s="187" t="s">
        <v>64</v>
      </c>
      <c r="E2" s="187" t="s">
        <v>162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79000</v>
      </c>
      <c r="U2" s="232">
        <f>Sheet2!B14</f>
        <v>225000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163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240</v>
      </c>
      <c r="E3" s="187">
        <v>2</v>
      </c>
      <c r="F3" s="395">
        <f>B3*C3*D3*E3</f>
        <v>5400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45326.624887395832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164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240</v>
      </c>
      <c r="E4" s="187">
        <f>CEILING(D1/60,1)+1</f>
        <v>10</v>
      </c>
      <c r="F4" s="395">
        <f>B4*C4*D4*E4</f>
        <v>3360.0000000000005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165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166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167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168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0.033268768042756143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169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170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0.09295685188417159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171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172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0.12622561992692774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173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174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175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176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177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178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0.0069581737082888674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179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180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0.0029572238260227686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181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182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0.0013046575703041627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0.0020874521124866602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1737.5</v>
      </c>
      <c r="F15" s="398">
        <f>SUBTOTAL(109,Table8[اجمالي التكلفة])</f>
        <v>21718.75</v>
      </c>
      <c r="G15" s="397"/>
      <c r="H15" s="397"/>
      <c r="I15" s="397"/>
      <c r="J15" s="397"/>
      <c r="L15" s="211">
        <v>5</v>
      </c>
      <c r="M15" s="212"/>
      <c r="N15" s="213" t="s">
        <v>184</v>
      </c>
      <c r="O15" s="214"/>
      <c r="P15" s="214"/>
      <c r="Q15" s="214"/>
      <c r="R15" s="404" t="s">
        <v>185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186</v>
      </c>
      <c r="O16" s="214"/>
      <c r="P16" s="214"/>
      <c r="Q16" s="214"/>
      <c r="R16" s="211" t="s">
        <v>187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0.034790868541444336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0.048098375758546794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188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183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189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0.00078279454218249753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0.00078279454218249753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0.00043488585676805422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0.0026093151406083254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0.0013916347416577735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0.0032959770197157788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0.030442009973763794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0.039139727109124875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0.013916347416577735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0.013916347416577735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0.10671183375915908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190</v>
      </c>
      <c r="O49" s="214"/>
      <c r="P49" s="211"/>
      <c r="Q49" s="216"/>
      <c r="R49" s="247" t="s">
        <v>191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192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21718.75</v>
      </c>
      <c r="V50" s="240">
        <f>M50*Table161368[[#This Row],[سعر الشبك ]]</f>
        <v>21718.75</v>
      </c>
      <c r="W50" s="241">
        <f t="shared" si="6" ca="1"/>
        <v>0.37780708806724711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21718.75</v>
      </c>
      <c r="V51" s="240">
        <f>M51*Table161368[[#This Row],[سعر الشبك ]]</f>
        <v>2171.875</v>
      </c>
      <c r="W51" s="241">
        <f t="shared" si="6" ca="1"/>
        <v>0.037780708806724711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23890.625</v>
      </c>
      <c r="W52" s="244">
        <f>Table161368[[#Totals],[اجمالي]]/$R$71</f>
        <v>0.41558779687397179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0.0069581737082888674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0.0069581737082888674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0.010437260562433302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0.010437260562433302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0.045228129103877635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0.033921096827908226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0.022614064551938817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0.045923946474706524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0.030442009973763794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0.080018997645321971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0.010437260562433302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0.30337637368139458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57486.348684210527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74732.2532894737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T1" zoomScale="70" zoomScaleNormal="70" workbookViewId="0">
      <selection activeCell="AJ13" sqref="AJ13"/>
    </sheetView>
  </sheetViews>
  <sheetFormatPr defaultColWidth="9.14453125" defaultRowHeight="15" x14ac:dyDescent="0.2"/>
  <cols>
    <col min="1" max="1" width="38.3359375" customWidth="1" style="1"/>
    <col min="2" max="3" width="13.046875" customWidth="1" style="1"/>
    <col min="4" max="4" width="11.02734375" customWidth="1" style="1"/>
    <col min="5" max="5" width="14.125" customWidth="1" style="1"/>
    <col min="6" max="6" width="19.90625" customWidth="1" style="1"/>
    <col min="7" max="7" width="5.51171875" customWidth="1" style="1"/>
    <col min="8" max="8" width="4.3046875" customWidth="1" style="1"/>
    <col min="9" max="9" width="4.03515625" customWidth="1" style="1"/>
    <col min="10" max="10" width="9.14453125" customWidth="1" style="1"/>
    <col min="11" max="11" width="9.14453125" customWidth="1" style="1"/>
    <col min="12" max="12" width="5.91796875" customWidth="1" style="1"/>
    <col min="13" max="13" width="15.19921875" customWidth="1" style="1"/>
    <col min="14" max="14" width="56.23046875" customWidth="1" style="1"/>
    <col min="15" max="17" width="9.14453125" customWidth="1" style="1"/>
    <col min="18" max="18" width="19.234375" customWidth="1" style="1"/>
    <col min="19" max="19" width="16.41015625" customWidth="1" style="1"/>
    <col min="20" max="20" width="20.71484375" customWidth="1" style="1"/>
    <col min="21" max="21" width="25.2890625" customWidth="1" style="1"/>
    <col min="22" max="22" width="16.8125" customWidth="1" style="1"/>
    <col min="23" max="23" width="18.16015625" customWidth="1" style="1"/>
    <col min="24" max="24" width="9.14453125" customWidth="1" style="1"/>
    <col min="25" max="25" width="14.52734375" customWidth="1" style="1"/>
    <col min="26" max="35" width="9.14453125" customWidth="1" style="1"/>
    <col min="36" max="36" width="55.15234375" customWidth="1" style="1"/>
    <col min="37" max="37" width="9.14453125" customWidth="1" style="1"/>
    <col min="38" max="38" width="19.50390625" customWidth="1" style="1"/>
    <col min="39" max="39" width="18.4296875" customWidth="1" style="1"/>
    <col min="40" max="16384" width="9.14453125" customWidth="1" style="1"/>
  </cols>
  <sheetData>
    <row r="1" ht="21">
      <c r="A1" s="393" t="s">
        <v>157</v>
      </c>
      <c r="B1" s="271">
        <f>(F1*D1)/10000</f>
        <v>35</v>
      </c>
      <c r="C1" s="272" t="s">
        <v>158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159</v>
      </c>
      <c r="B2" s="187" t="s">
        <v>160</v>
      </c>
      <c r="C2" s="187" t="s">
        <v>161</v>
      </c>
      <c r="D2" s="187" t="s">
        <v>64</v>
      </c>
      <c r="E2" s="187" t="s">
        <v>162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79000</v>
      </c>
      <c r="U2" s="232">
        <f>Sheet2!B14</f>
        <v>225000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163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240</v>
      </c>
      <c r="E3" s="187">
        <v>2</v>
      </c>
      <c r="F3" s="395">
        <f>B3*C3*D3*E3</f>
        <v>7560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45326.624887418984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164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240</v>
      </c>
      <c r="E4" s="187">
        <f>CEILING(D1/60,1)+1</f>
        <v>13</v>
      </c>
      <c r="F4" s="395">
        <f>B4*C4*D4*E4</f>
        <v>8736.0000000000018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166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168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170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0.11104033051107098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172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0.11104033051107098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174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176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178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0.0051948692636758359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180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0.00220781943706223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182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0.00097403798693921912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0.0062338431164110026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184</v>
      </c>
      <c r="O15" s="214"/>
      <c r="P15" s="214"/>
      <c r="Q15" s="214"/>
      <c r="R15" s="404" t="s">
        <v>185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186</v>
      </c>
      <c r="O16" s="214"/>
      <c r="P16" s="214"/>
      <c r="Q16" s="214"/>
      <c r="R16" s="211" t="s">
        <v>187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1096.3142857142857</v>
      </c>
      <c r="F17" s="398">
        <f>SUBTOTAL(109,Table823[اجمالي التكلفة])</f>
        <v>38371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0.014610569804088288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188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183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189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0.027273063634298138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0.011688455843270631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0.038961519477568769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0.0031937623327307069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0.00058442279216353152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0.00058442279216353152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0.00097403798693921912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0.0058442279216353154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0.0015584607791027506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0.0024607275459517116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0.040000493330303935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0.045455106057163561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0.05844227921635315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0.0018867765165670638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0.0018867765165670638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0.16287149378764154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190</v>
      </c>
      <c r="O49" s="214"/>
      <c r="P49" s="211"/>
      <c r="Q49" s="216"/>
      <c r="R49" s="247" t="s">
        <v>191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192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38371</v>
      </c>
      <c r="V50" s="240">
        <f>M50*Table16136845[[#This Row],[سعر الشبك ]]</f>
        <v>38371</v>
      </c>
      <c r="W50" s="241">
        <f t="shared" si="6"/>
        <v>0.49833082129126371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38371</v>
      </c>
      <c r="V51" s="240">
        <f>M51*Table16136845[[#This Row],[سعر الشبك ]]</f>
        <v>3837.1000000000004</v>
      </c>
      <c r="W51" s="241">
        <f t="shared" si="6"/>
        <v>0.049833082129126377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42208.1</v>
      </c>
      <c r="W52" s="244">
        <f>Table16136845[[#Totals],[اجمالي]]/$R$71</f>
        <v>0.54816390342039012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0.010389738527351672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0.010389738527351672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0.0051948692636758359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0.007792303895513753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0.016883325106946467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0.012662493830209849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0.031169215582055012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0.029870498266136053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0.12435218299924032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76999.0503508772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100098.76545614036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453125" defaultRowHeight="15" x14ac:dyDescent="0.2"/>
  <cols>
    <col min="1" max="1" width="11.296875" customWidth="1" style="323"/>
    <col min="2" max="2" width="11.56640625" customWidth="1" style="323"/>
    <col min="3" max="3" width="42.375" customWidth="1" style="323"/>
    <col min="4" max="4" width="11.56640625" customWidth="1" style="323"/>
    <col min="5" max="5" width="16.27734375" customWidth="1" style="324"/>
    <col min="6" max="6" width="15.87109375" customWidth="1" style="323"/>
    <col min="7" max="7" width="13.046875" customWidth="1" style="323"/>
    <col min="8" max="8" width="27.3046875" customWidth="1" style="323"/>
    <col min="9" max="9" width="16.41015625" customWidth="1" style="323"/>
    <col min="10" max="10" width="30.1328125" customWidth="1" style="323"/>
    <col min="11" max="11" width="16.0078125" customWidth="1" style="323"/>
    <col min="12" max="12" width="16.0078125" customWidth="1"/>
    <col min="13" max="13" width="23.80859375" customWidth="1"/>
    <col min="14" max="14" width="17.08203125" customWidth="1"/>
    <col min="15" max="15" width="18.29296875" customWidth="1"/>
    <col min="17" max="17" width="14.125" customWidth="1"/>
    <col min="18" max="18" width="17.484375" customWidth="1"/>
    <col min="19" max="19" width="16.6796875" customWidth="1"/>
    <col min="21" max="21" width="1.07421875" customWidth="1"/>
    <col min="22" max="22" width="18.96484375" customWidth="1"/>
    <col min="23" max="23" width="14.52734375" customWidth="1"/>
    <col min="24" max="24" width="2.5546875" customWidth="1"/>
    <col min="25" max="25" width="22.05859375" customWidth="1"/>
    <col min="26" max="28" width="14.66015625" customWidth="1"/>
    <col min="30" max="30" width="27.7109375" customWidth="1"/>
    <col min="31" max="31" width="12.9140625" customWidth="1"/>
    <col min="32" max="32" width="14.5273437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193</v>
      </c>
      <c r="B2" s="323" t="s">
        <v>194</v>
      </c>
      <c r="C2" s="323" t="s">
        <v>195</v>
      </c>
      <c r="E2" s="324" t="s">
        <v>9</v>
      </c>
      <c r="F2" s="323" t="s">
        <v>30</v>
      </c>
      <c r="H2" s="329" t="s">
        <v>9</v>
      </c>
      <c r="I2" s="364" t="s">
        <v>196</v>
      </c>
      <c r="J2" s="365" t="s">
        <v>197</v>
      </c>
      <c r="K2" s="366" t="s">
        <v>198</v>
      </c>
      <c r="M2" s="367" t="s">
        <v>199</v>
      </c>
      <c r="N2" s="367" t="s">
        <v>200</v>
      </c>
      <c r="O2" s="0" t="s">
        <v>9</v>
      </c>
      <c r="P2" s="368"/>
      <c r="R2" s="343"/>
      <c r="S2" s="323" t="s">
        <v>194</v>
      </c>
      <c r="T2" s="323" t="s">
        <v>195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196</v>
      </c>
      <c r="AA2" s="331" t="s">
        <v>197</v>
      </c>
      <c r="AB2" s="331" t="s">
        <v>198</v>
      </c>
      <c r="AD2" s="0" t="s">
        <v>199</v>
      </c>
      <c r="AE2" s="0" t="s">
        <v>200</v>
      </c>
      <c r="AF2" s="0" t="s">
        <v>9</v>
      </c>
      <c r="AG2" s="368"/>
    </row>
    <row r="3" ht="25.5">
      <c r="A3" s="330" t="s">
        <v>201</v>
      </c>
      <c r="B3" s="331">
        <v>2.5</v>
      </c>
      <c r="C3" s="331">
        <v>13</v>
      </c>
      <c r="E3" s="331" t="s">
        <v>202</v>
      </c>
      <c r="F3" s="331">
        <f>Sheet2!B42</f>
        <v>650</v>
      </c>
      <c r="H3" s="332" t="s">
        <v>203</v>
      </c>
      <c r="I3" s="369">
        <v>2</v>
      </c>
      <c r="J3" s="370">
        <v>75</v>
      </c>
      <c r="K3" s="371">
        <f ref="K3:K10" t="shared" si="0">I3*J3</f>
        <v>150</v>
      </c>
      <c r="M3" s="372" t="s">
        <v>204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167</v>
      </c>
      <c r="T3" s="331">
        <v>17</v>
      </c>
      <c r="U3" s="323"/>
      <c r="V3" s="331" t="s">
        <v>202</v>
      </c>
      <c r="W3" s="331">
        <f>Sheet2!B42</f>
        <v>650</v>
      </c>
      <c r="X3" s="323"/>
      <c r="Y3" s="342" t="s">
        <v>205</v>
      </c>
      <c r="Z3" s="378">
        <v>8</v>
      </c>
      <c r="AA3" s="331">
        <v>50</v>
      </c>
      <c r="AB3" s="331">
        <f ref="AB3:AB11" t="shared" si="1">Z3*AA3</f>
        <v>400</v>
      </c>
      <c r="AD3" s="391" t="s">
        <v>204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201</v>
      </c>
      <c r="B4" s="331">
        <v>2.7</v>
      </c>
      <c r="C4" s="331" t="s">
        <v>206</v>
      </c>
      <c r="E4" s="331" t="s">
        <v>207</v>
      </c>
      <c r="F4" s="331">
        <f>Sheet2!B43</f>
        <v>150</v>
      </c>
      <c r="H4" s="332" t="s">
        <v>208</v>
      </c>
      <c r="I4" s="369">
        <v>2</v>
      </c>
      <c r="J4" s="370">
        <v>7</v>
      </c>
      <c r="K4" s="371">
        <f t="shared" si="0"/>
        <v>14</v>
      </c>
      <c r="M4" s="372" t="s">
        <v>209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210</v>
      </c>
      <c r="T4" s="331">
        <v>18.75</v>
      </c>
      <c r="U4" s="323"/>
      <c r="V4" s="331" t="s">
        <v>207</v>
      </c>
      <c r="W4" s="331">
        <f>Sheet2!B43</f>
        <v>150</v>
      </c>
      <c r="X4" s="323"/>
      <c r="Y4" s="342" t="s">
        <v>208</v>
      </c>
      <c r="Z4" s="378">
        <v>2</v>
      </c>
      <c r="AA4" s="331">
        <v>15</v>
      </c>
      <c r="AB4" s="331">
        <f t="shared" si="1"/>
        <v>30</v>
      </c>
      <c r="AD4" s="391" t="s">
        <v>209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201</v>
      </c>
      <c r="B5" s="331">
        <v>3</v>
      </c>
      <c r="C5" s="331">
        <v>14.5</v>
      </c>
      <c r="E5" s="331" t="s">
        <v>211</v>
      </c>
      <c r="F5" s="331">
        <f>Sheet2!B44</f>
        <v>200</v>
      </c>
      <c r="H5" s="332" t="s">
        <v>212</v>
      </c>
      <c r="I5" s="369">
        <v>16</v>
      </c>
      <c r="J5" s="370">
        <v>10</v>
      </c>
      <c r="K5" s="371">
        <f t="shared" si="0"/>
        <v>160</v>
      </c>
      <c r="M5" s="372" t="s">
        <v>213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211</v>
      </c>
      <c r="W5" s="331">
        <f>Sheet2!B44</f>
        <v>200</v>
      </c>
      <c r="X5" s="323"/>
      <c r="Y5" s="342" t="s">
        <v>214</v>
      </c>
      <c r="Z5" s="378">
        <v>1</v>
      </c>
      <c r="AA5" s="331">
        <v>150</v>
      </c>
      <c r="AB5" s="331">
        <f t="shared" si="1"/>
        <v>150</v>
      </c>
      <c r="AD5" s="391" t="s">
        <v>213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201</v>
      </c>
      <c r="B6" s="331">
        <v>3.5</v>
      </c>
      <c r="C6" s="331" t="s">
        <v>206</v>
      </c>
      <c r="E6" s="331" t="s">
        <v>215</v>
      </c>
      <c r="F6" s="331">
        <v>250</v>
      </c>
      <c r="H6" s="332" t="s">
        <v>216</v>
      </c>
      <c r="I6" s="369">
        <v>16</v>
      </c>
      <c r="J6" s="370">
        <v>1</v>
      </c>
      <c r="K6" s="371">
        <f t="shared" si="0"/>
        <v>16</v>
      </c>
      <c r="M6" s="372" t="s">
        <v>217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218</v>
      </c>
      <c r="W6" s="331">
        <v>250</v>
      </c>
      <c r="X6" s="323"/>
      <c r="Y6" s="342" t="s">
        <v>219</v>
      </c>
      <c r="Z6" s="378">
        <v>1</v>
      </c>
      <c r="AA6" s="331">
        <v>150</v>
      </c>
      <c r="AB6" s="331">
        <f t="shared" si="1"/>
        <v>150</v>
      </c>
      <c r="AD6" s="391" t="s">
        <v>217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4593.75</v>
      </c>
      <c r="AF6" s="391"/>
      <c r="AG6" s="368"/>
    </row>
    <row r="7" ht="18.75">
      <c r="A7" s="330" t="s">
        <v>220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221</v>
      </c>
      <c r="I7" s="369">
        <v>2</v>
      </c>
      <c r="J7" s="370">
        <v>100</v>
      </c>
      <c r="K7" s="371">
        <f t="shared" si="0"/>
        <v>200</v>
      </c>
      <c r="M7" s="372" t="s">
        <v>222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223</v>
      </c>
      <c r="Z7" s="378">
        <v>1</v>
      </c>
      <c r="AA7" s="331">
        <v>150</v>
      </c>
      <c r="AB7" s="331">
        <f t="shared" si="1"/>
        <v>150</v>
      </c>
      <c r="AD7" s="391" t="s">
        <v>222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220</v>
      </c>
      <c r="B8" s="331">
        <v>2.5</v>
      </c>
      <c r="C8" s="331" t="s">
        <v>206</v>
      </c>
      <c r="E8" s="331" t="s">
        <v>224</v>
      </c>
      <c r="F8" s="331">
        <f>Table626[[#This Row],[Column2]]</f>
        <v>50</v>
      </c>
      <c r="H8" s="332" t="s">
        <v>225</v>
      </c>
      <c r="I8" s="369">
        <v>2</v>
      </c>
      <c r="J8" s="370">
        <v>20</v>
      </c>
      <c r="K8" s="371">
        <f t="shared" si="0"/>
        <v>40</v>
      </c>
      <c r="M8" s="372" t="s">
        <v>226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224</v>
      </c>
      <c r="W8" s="331">
        <f>Sheet2!B15/1000</f>
        <v>50</v>
      </c>
      <c r="X8" s="323"/>
      <c r="Y8" s="342" t="s">
        <v>227</v>
      </c>
      <c r="Z8" s="378">
        <v>2</v>
      </c>
      <c r="AA8" s="331">
        <v>50</v>
      </c>
      <c r="AB8" s="331">
        <f t="shared" si="1"/>
        <v>100</v>
      </c>
      <c r="AD8" s="391" t="s">
        <v>226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220</v>
      </c>
      <c r="B9" s="331">
        <v>3</v>
      </c>
      <c r="C9" s="331">
        <v>14.5</v>
      </c>
      <c r="E9" s="331" t="s">
        <v>228</v>
      </c>
      <c r="F9" s="331">
        <f>Table626[[#This Row],[Column2]]</f>
        <v>20</v>
      </c>
      <c r="H9" s="332" t="s">
        <v>229</v>
      </c>
      <c r="I9" s="369">
        <v>7</v>
      </c>
      <c r="J9" s="370">
        <v>8</v>
      </c>
      <c r="K9" s="371">
        <f t="shared" si="0"/>
        <v>56</v>
      </c>
      <c r="M9" s="372" t="s">
        <v>230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228</v>
      </c>
      <c r="W9" s="331">
        <f>Sheet2!B41</f>
        <v>20</v>
      </c>
      <c r="X9" s="323"/>
      <c r="Y9" s="342" t="s">
        <v>231</v>
      </c>
      <c r="Z9" s="378">
        <v>36</v>
      </c>
      <c r="AA9" s="331">
        <v>25</v>
      </c>
      <c r="AB9" s="331">
        <f t="shared" si="1"/>
        <v>900</v>
      </c>
      <c r="AD9" s="391" t="s">
        <v>230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220</v>
      </c>
      <c r="B10" s="331">
        <v>3.3</v>
      </c>
      <c r="C10" s="331">
        <v>17.5</v>
      </c>
      <c r="E10" s="331" t="s">
        <v>232</v>
      </c>
      <c r="F10" s="331">
        <f>W11</f>
        <v>225</v>
      </c>
      <c r="H10" s="332" t="s">
        <v>233</v>
      </c>
      <c r="I10" s="369">
        <v>8</v>
      </c>
      <c r="J10" s="370">
        <v>50</v>
      </c>
      <c r="K10" s="371">
        <f t="shared" si="0"/>
        <v>400</v>
      </c>
      <c r="M10" s="372" t="s">
        <v>234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235</v>
      </c>
      <c r="W10" s="331">
        <v>90</v>
      </c>
      <c r="X10" s="323"/>
      <c r="Y10" s="342" t="s">
        <v>236</v>
      </c>
      <c r="Z10" s="378">
        <v>1</v>
      </c>
      <c r="AA10" s="331">
        <v>75</v>
      </c>
      <c r="AB10" s="331">
        <f t="shared" si="1"/>
        <v>75</v>
      </c>
      <c r="AD10" s="391" t="s">
        <v>234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237</v>
      </c>
      <c r="F11" s="334">
        <v>450</v>
      </c>
      <c r="H11" s="335" t="s">
        <v>238</v>
      </c>
      <c r="I11" s="373"/>
      <c r="J11" s="374"/>
      <c r="K11" s="375">
        <v>250</v>
      </c>
      <c r="M11" s="372" t="s">
        <v>239</v>
      </c>
      <c r="N11" s="372">
        <f>IF(OR(تسعير!AN8="double",تسعير!AN8="single مطرز"),'شماسي و كانتليفر'!F13,0)</f>
        <v>1200</v>
      </c>
      <c r="O11" s="372"/>
      <c r="P11" s="368"/>
      <c r="R11" s="343"/>
      <c r="S11" s="323"/>
      <c r="T11" s="323"/>
      <c r="U11" s="323"/>
      <c r="V11" s="331" t="s">
        <v>232</v>
      </c>
      <c r="W11" s="331">
        <f>Sheet2!B14/1000</f>
        <v>225</v>
      </c>
      <c r="X11" s="323"/>
      <c r="Y11" s="342" t="s">
        <v>240</v>
      </c>
      <c r="Z11" s="378">
        <v>1</v>
      </c>
      <c r="AA11" s="331">
        <v>75</v>
      </c>
      <c r="AB11" s="331">
        <f t="shared" si="1"/>
        <v>75</v>
      </c>
      <c r="AD11" s="391" t="s">
        <v>239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241</v>
      </c>
      <c r="F12" s="337">
        <v>450</v>
      </c>
      <c r="H12" s="338" t="s">
        <v>242</v>
      </c>
      <c r="I12" s="369"/>
      <c r="J12" s="370"/>
      <c r="K12" s="376">
        <f>Sheet2!B46</f>
        <v>3000</v>
      </c>
      <c r="M12" s="372" t="s">
        <v>243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237</v>
      </c>
      <c r="W12" s="331">
        <v>500</v>
      </c>
      <c r="X12" s="323"/>
      <c r="Y12" s="391" t="s">
        <v>242</v>
      </c>
      <c r="Z12" s="378"/>
      <c r="AA12" s="331"/>
      <c r="AB12" s="217">
        <f>Sheet2!B45</f>
        <v>4000</v>
      </c>
      <c r="AD12" s="391" t="s">
        <v>244</v>
      </c>
      <c r="AE12" s="391">
        <f>IF(تسعير!AG28="نصف جملة",((AE6+AE9+AE10+AE11+تسعير!AL28)*1.25),IF(تسعير!AG28="جملة",(((AE6+AE9+AE10+AE11+تسعير!AL28)*1.275)),((AE6+AE9+AE10+AE11+تسعير!AL28)*1.3)))</f>
        <v>26571.675</v>
      </c>
      <c r="AF12" s="391"/>
      <c r="AG12" s="368"/>
    </row>
    <row r="13" ht="18.75">
      <c r="A13" s="328"/>
      <c r="E13" s="339" t="s">
        <v>245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244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241</v>
      </c>
      <c r="W13" s="331">
        <v>500</v>
      </c>
      <c r="X13" s="323"/>
      <c r="Y13" s="342" t="s">
        <v>246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245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194</v>
      </c>
      <c r="I15" s="323" t="s">
        <v>247</v>
      </c>
      <c r="J15" s="323" t="s">
        <v>248</v>
      </c>
      <c r="K15" s="323" t="s">
        <v>249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250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251</v>
      </c>
      <c r="F17" s="323" t="s">
        <v>252</v>
      </c>
      <c r="H17" s="331" t="s">
        <v>253</v>
      </c>
      <c r="I17" s="331">
        <v>5.65</v>
      </c>
      <c r="J17" s="331" t="s">
        <v>206</v>
      </c>
      <c r="K17" s="331" t="s">
        <v>206</v>
      </c>
      <c r="P17" s="368"/>
      <c r="R17" s="343"/>
      <c r="V17" s="324" t="s">
        <v>9</v>
      </c>
      <c r="W17" s="323" t="s">
        <v>30</v>
      </c>
      <c r="X17" s="323"/>
      <c r="Y17" s="324" t="s">
        <v>194</v>
      </c>
      <c r="Z17" s="323" t="s">
        <v>247</v>
      </c>
      <c r="AA17" s="323" t="s">
        <v>248</v>
      </c>
      <c r="AB17" s="323" t="s">
        <v>249</v>
      </c>
      <c r="AG17" s="368"/>
    </row>
    <row r="18" ht="18.75">
      <c r="A18" s="343"/>
      <c r="E18" s="324" t="s">
        <v>254</v>
      </c>
      <c r="F18" s="323" t="s">
        <v>255</v>
      </c>
      <c r="H18" s="331" t="s">
        <v>256</v>
      </c>
      <c r="I18" s="331" t="s">
        <v>206</v>
      </c>
      <c r="J18" s="331" t="s">
        <v>206</v>
      </c>
      <c r="K18" s="331" t="s">
        <v>206</v>
      </c>
      <c r="P18" s="368"/>
      <c r="R18" s="343"/>
      <c r="V18" s="331" t="s">
        <v>251</v>
      </c>
      <c r="W18" s="342" t="s">
        <v>252</v>
      </c>
      <c r="X18" s="323"/>
      <c r="Y18" s="331" t="s">
        <v>167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257</v>
      </c>
      <c r="F19" s="323" t="s">
        <v>258</v>
      </c>
      <c r="H19" s="331" t="s">
        <v>259</v>
      </c>
      <c r="I19" s="331">
        <v>6.5</v>
      </c>
      <c r="J19" s="331" t="s">
        <v>206</v>
      </c>
      <c r="K19" s="331" t="s">
        <v>206</v>
      </c>
      <c r="P19" s="368"/>
      <c r="R19" s="343"/>
      <c r="V19" s="331" t="s">
        <v>254</v>
      </c>
      <c r="W19" s="342" t="s">
        <v>255</v>
      </c>
      <c r="X19" s="323"/>
      <c r="Y19" s="331" t="s">
        <v>210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260</v>
      </c>
      <c r="H20" s="331" t="s">
        <v>261</v>
      </c>
      <c r="I20" s="331" t="s">
        <v>206</v>
      </c>
      <c r="J20" s="331" t="s">
        <v>206</v>
      </c>
      <c r="K20" s="331" t="s">
        <v>206</v>
      </c>
      <c r="P20" s="368"/>
      <c r="R20" s="343"/>
      <c r="V20" s="331"/>
      <c r="W20" s="342" t="s">
        <v>258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262</v>
      </c>
      <c r="I21" s="331" t="s">
        <v>206</v>
      </c>
      <c r="J21" s="331" t="s">
        <v>206</v>
      </c>
      <c r="K21" s="331" t="s">
        <v>206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263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264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195</v>
      </c>
      <c r="C27" s="348" t="s">
        <v>29</v>
      </c>
      <c r="D27" s="348" t="s">
        <v>265</v>
      </c>
      <c r="E27" s="349" t="s">
        <v>165</v>
      </c>
      <c r="F27" s="348" t="s">
        <v>266</v>
      </c>
      <c r="G27" s="348" t="s">
        <v>159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267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268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269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271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272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273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274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275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276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277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278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279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280</v>
      </c>
      <c r="D49" s="331">
        <v>250</v>
      </c>
      <c r="E49" s="353">
        <f>Table12[[#This Row],[سعر]]*Table12[[#This Row],[ميزان]]*Table12[[#This Row],[عدد]]</f>
        <v>0</v>
      </c>
      <c r="J49" s="383" t="s">
        <v>281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282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283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284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195</v>
      </c>
      <c r="C60" s="348" t="s">
        <v>29</v>
      </c>
      <c r="D60" s="348" t="s">
        <v>265</v>
      </c>
      <c r="E60" s="349" t="s">
        <v>165</v>
      </c>
      <c r="F60" s="348" t="s">
        <v>266</v>
      </c>
      <c r="G60" s="348" t="s">
        <v>159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267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268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269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271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285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273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274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275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236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276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277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279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278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281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280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282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283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284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M1" zoomScale="25" zoomScaleNormal="25" workbookViewId="0">
      <selection activeCell="CH88" sqref="CH88"/>
    </sheetView>
  </sheetViews>
  <sheetFormatPr defaultColWidth="9.14453125" defaultRowHeight="15" x14ac:dyDescent="0.2"/>
  <cols>
    <col min="1" max="1" width="38.3359375" customWidth="1" style="1"/>
    <col min="2" max="3" width="13.046875" customWidth="1" style="1"/>
    <col min="4" max="4" width="11.703125" customWidth="1" style="1"/>
    <col min="5" max="5" width="14.125" customWidth="1" style="1"/>
    <col min="6" max="6" width="19.90625" customWidth="1" style="1"/>
    <col min="7" max="7" width="12.10546875" customWidth="1" style="1"/>
    <col min="8" max="9" width="11.8359375" customWidth="1" style="1"/>
    <col min="10" max="10" width="15.73828125" customWidth="1" style="1"/>
    <col min="11" max="11" width="9.14453125" customWidth="1" style="1"/>
    <col min="12" max="12" width="5.91796875" customWidth="1" style="1"/>
    <col min="13" max="13" width="15.19921875" customWidth="1" style="1"/>
    <col min="14" max="14" width="56.23046875" customWidth="1" style="1"/>
    <col min="15" max="17" width="9.14453125" customWidth="1" style="1"/>
    <col min="18" max="18" width="19.234375" customWidth="1" style="1"/>
    <col min="19" max="19" width="16.41015625" customWidth="1" style="1"/>
    <col min="20" max="20" width="20.71484375" customWidth="1" style="1"/>
    <col min="21" max="21" width="25.2890625" customWidth="1" style="1"/>
    <col min="22" max="22" width="16.8125" customWidth="1" style="1"/>
    <col min="23" max="23" width="18.16015625" customWidth="1" style="1"/>
    <col min="24" max="24" width="9.14453125" customWidth="1" style="1"/>
    <col min="25" max="25" width="14.52734375" customWidth="1" style="1"/>
    <col min="26" max="35" width="9.14453125" customWidth="1" style="1"/>
    <col min="36" max="36" width="55.15234375" customWidth="1" style="1"/>
    <col min="37" max="37" width="9.14453125" customWidth="1" style="1"/>
    <col min="38" max="38" width="16.6796875" customWidth="1" style="1"/>
    <col min="39" max="39" width="16.94921875" customWidth="1" style="1"/>
    <col min="40" max="47" width="9.14453125" customWidth="1" style="1"/>
    <col min="48" max="48" width="46.8125" customWidth="1" style="1"/>
    <col min="49" max="49" width="14.2578125" customWidth="1" style="1"/>
    <col min="50" max="50" width="14.796875" customWidth="1" style="1"/>
    <col min="51" max="51" width="12.5078125" customWidth="1" style="1"/>
    <col min="52" max="52" width="14.796875" customWidth="1" style="1"/>
    <col min="53" max="53" width="22.328125" customWidth="1" style="1"/>
    <col min="54" max="54" width="3.359375" customWidth="1" style="1"/>
    <col min="55" max="55" width="10.35546875" customWidth="1" style="1"/>
    <col min="56" max="56" width="11.8359375" customWidth="1" style="1"/>
    <col min="57" max="57" width="16.6796875" customWidth="1" style="1"/>
    <col min="58" max="58" width="6.3203125" customWidth="1" style="1"/>
    <col min="59" max="59" width="14.2578125" customWidth="1" style="1"/>
    <col min="60" max="60" width="13.046875" customWidth="1" style="1"/>
    <col min="61" max="61" width="44.2578125" customWidth="1" style="1"/>
    <col min="62" max="62" width="14.2578125" customWidth="1" style="1"/>
    <col min="63" max="63" width="14.125" customWidth="1" style="1"/>
    <col min="64" max="64" width="13.85546875" customWidth="1" style="1"/>
    <col min="65" max="65" width="14.125" customWidth="1" style="1"/>
    <col min="66" max="66" width="14.66015625" customWidth="1" style="1"/>
    <col min="67" max="67" width="13.71875" customWidth="1" style="1"/>
    <col min="68" max="68" width="17.75390625" customWidth="1" style="1"/>
    <col min="69" max="69" width="21.7890625" customWidth="1" style="1"/>
    <col min="70" max="70" width="21.1171875" customWidth="1" style="1"/>
    <col min="71" max="82" width="9.14453125" customWidth="1" style="1"/>
    <col min="83" max="83" width="26.6328125" customWidth="1" style="1"/>
    <col min="84" max="16384" width="9.14453125" customWidth="1" style="1"/>
  </cols>
  <sheetData>
    <row r="1" ht="21">
      <c r="A1" s="547" t="s">
        <v>286</v>
      </c>
      <c r="B1" s="548">
        <f>(F1*D1)/10000</f>
        <v>20</v>
      </c>
      <c r="C1" s="549" t="s">
        <v>158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287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288</v>
      </c>
      <c r="AW1" s="189">
        <f>(BA1*AY1)/10000</f>
        <v>20</v>
      </c>
      <c r="AX1" s="190" t="s">
        <v>158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289</v>
      </c>
      <c r="D2" s="553" t="s">
        <v>30</v>
      </c>
      <c r="E2" s="553" t="s">
        <v>290</v>
      </c>
      <c r="F2" s="553" t="s">
        <v>291</v>
      </c>
      <c r="G2" s="543"/>
      <c r="H2" s="554" t="s">
        <v>292</v>
      </c>
      <c r="I2" s="554"/>
      <c r="J2" s="554" t="s">
        <v>293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79000</v>
      </c>
      <c r="U2" s="232">
        <f>Sheet2!B14</f>
        <v>225000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289</v>
      </c>
      <c r="AY2" s="194" t="s">
        <v>30</v>
      </c>
      <c r="AZ2" s="194" t="s">
        <v>290</v>
      </c>
      <c r="BA2" s="194" t="s">
        <v>291</v>
      </c>
      <c r="BC2" s="195" t="s">
        <v>292</v>
      </c>
      <c r="BD2" s="195"/>
      <c r="BE2" s="195" t="s">
        <v>293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294</v>
      </c>
      <c r="B3" s="555">
        <f>ROUNDUP((12+((ROUNDUP((D1-210),15))/15)),0)</f>
        <v>32</v>
      </c>
      <c r="C3" s="556">
        <f>F1-16.5</f>
        <v>383.5</v>
      </c>
      <c r="D3" s="553" t="s">
        <v>295</v>
      </c>
      <c r="E3" s="553">
        <v>2.3</v>
      </c>
      <c r="F3" s="553">
        <f>IF(($H$1="سادة"),(J3*H3*E3*($U$2+12000)/1000),(J3*H3*E3*($U$2+40000)/1000))</f>
        <v>78016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45326.62488747685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294</v>
      </c>
      <c r="AW3" s="196">
        <f>ROUNDUP((12+((ROUNDUP((AY1-210),18))/18)),0)</f>
        <v>23</v>
      </c>
      <c r="AX3" s="197">
        <f>BA1-16.5</f>
        <v>483.5</v>
      </c>
      <c r="AY3" s="194" t="s">
        <v>295</v>
      </c>
      <c r="AZ3" s="194">
        <v>2</v>
      </c>
      <c r="BA3" s="194">
        <f>IF((تسعير!$AT$46="سادة"),(BE3*BC3*AZ3*(Sheet2!$B$14+12000)/1000),(BE3*BC3*AZ3*(Sheet2!$B$14+Sheet2!$B$15)/1000))</f>
        <v>63250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45326.62488747685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296</v>
      </c>
      <c r="B4" s="553">
        <v>2</v>
      </c>
      <c r="C4" s="555">
        <f>F1</f>
        <v>400</v>
      </c>
      <c r="D4" s="553" t="s">
        <v>295</v>
      </c>
      <c r="E4" s="553">
        <v>3.8</v>
      </c>
      <c r="F4" s="553">
        <f ref="F4:F8" t="shared" si="2">IF(($H$1="سادة"),(J4*H4*E4*($U$2+12000)/1000),(J4*H4*E4*($U$2+40000)/1000))</f>
        <v>10070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165</v>
      </c>
      <c r="AT4" s="255"/>
      <c r="AU4" s="207"/>
      <c r="AV4" s="193" t="s">
        <v>297</v>
      </c>
      <c r="AW4" s="194">
        <v>2</v>
      </c>
      <c r="AX4" s="196">
        <f>BA1</f>
        <v>500</v>
      </c>
      <c r="AY4" s="194" t="s">
        <v>295</v>
      </c>
      <c r="AZ4" s="194">
        <v>1.7</v>
      </c>
      <c r="BA4" s="194">
        <f>IF((تسعير!$AT$46="سادة"),(BE4*BC4*AZ4*(Sheet2!$B$14+12000)/1000),(BE4*BC4*AZ4*(Sheet2!$B$14+Sheet2!$B$15)/1000))</f>
        <v>4675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165</v>
      </c>
      <c r="CO4" s="255"/>
    </row>
    <row r="5" ht="18.75" s="187" customFormat="1">
      <c r="A5" s="552" t="s">
        <v>298</v>
      </c>
      <c r="B5" s="553">
        <v>2</v>
      </c>
      <c r="C5" s="555">
        <f>D1</f>
        <v>500</v>
      </c>
      <c r="D5" s="553" t="s">
        <v>295</v>
      </c>
      <c r="E5" s="553">
        <v>3.8</v>
      </c>
      <c r="F5" s="553">
        <f t="shared" si="2"/>
        <v>10070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299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167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298</v>
      </c>
      <c r="AW5" s="194">
        <v>2</v>
      </c>
      <c r="AX5" s="196">
        <f>AY1</f>
        <v>400</v>
      </c>
      <c r="AY5" s="194" t="s">
        <v>295</v>
      </c>
      <c r="AZ5" s="194">
        <v>1.7</v>
      </c>
      <c r="BA5" s="194">
        <f>IF((تسعير!$AT$46="سادة"),(BE5*BC5*AZ5*(Sheet2!$B$14+12000)/1000),(BE5*BC5*AZ5*(Sheet2!$B$14+Sheet2!$B$15)/1000))</f>
        <v>4675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299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167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300</v>
      </c>
      <c r="B6" s="553">
        <v>2</v>
      </c>
      <c r="C6" s="555">
        <f>F1</f>
        <v>400</v>
      </c>
      <c r="D6" s="553" t="s">
        <v>295</v>
      </c>
      <c r="E6" s="553">
        <v>1.7</v>
      </c>
      <c r="F6" s="553">
        <f t="shared" si="2"/>
        <v>4505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301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0.04292351832282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169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302</v>
      </c>
      <c r="AW6" s="194">
        <v>1</v>
      </c>
      <c r="AX6" s="194">
        <f>(15.6*(AW3-1)+4)</f>
        <v>347.2</v>
      </c>
      <c r="AY6" s="194" t="s">
        <v>295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0.02146175916141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169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304</v>
      </c>
      <c r="B7" s="553">
        <v>2</v>
      </c>
      <c r="C7" s="555">
        <f>D1</f>
        <v>500</v>
      </c>
      <c r="D7" s="553" t="s">
        <v>295</v>
      </c>
      <c r="E7" s="553">
        <v>1.7</v>
      </c>
      <c r="F7" s="553">
        <f t="shared" si="2"/>
        <v>4505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305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171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306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305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0.05572526940155579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171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307</v>
      </c>
      <c r="B8" s="553">
        <v>2</v>
      </c>
      <c r="C8" s="553">
        <f>C3</f>
        <v>383.5</v>
      </c>
      <c r="D8" s="553" t="s">
        <v>295</v>
      </c>
      <c r="E8" s="553">
        <v>0.65</v>
      </c>
      <c r="F8" s="553">
        <f t="shared" si="2"/>
        <v>1378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308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173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309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308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0.007530441811021053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173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302</v>
      </c>
      <c r="B9" s="553">
        <v>2</v>
      </c>
      <c r="C9" s="553">
        <f>(15.6*(B3-1)+4)</f>
        <v>487.59999999999997</v>
      </c>
      <c r="D9" s="553" t="s">
        <v>295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303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175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310</v>
      </c>
      <c r="AW9" s="194">
        <v>1</v>
      </c>
      <c r="AX9" s="196">
        <v>100</v>
      </c>
      <c r="AY9" s="194" t="s">
        <v>295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175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306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311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177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177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309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0.04292351832282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179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0.084717470373986845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179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310</v>
      </c>
      <c r="B12" s="553">
        <v>1</v>
      </c>
      <c r="C12" s="555">
        <v>100</v>
      </c>
      <c r="D12" s="553" t="s">
        <v>295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181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181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315</v>
      </c>
      <c r="B13" s="553"/>
      <c r="C13" s="553">
        <v>4</v>
      </c>
      <c r="D13" s="553" t="s">
        <v>316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317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0.0040162356325445618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5055.6825000000008</v>
      </c>
      <c r="AX14" s="194"/>
      <c r="AY14" s="194"/>
      <c r="AZ14" s="194"/>
      <c r="BA14" s="194">
        <f>SUBTOTAL(109,Table8091[price])</f>
        <v>91921.5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0.0040162356325445618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313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0.00085345007191571932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0.00085345007191571932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314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0.00037652209055105262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0.00037652209055105262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318</v>
      </c>
      <c r="B17" s="553">
        <v>2</v>
      </c>
      <c r="C17" s="553"/>
      <c r="D17" s="553" t="s">
        <v>295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0.0024097413795267368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319</v>
      </c>
      <c r="B18" s="553"/>
      <c r="C18" s="553">
        <f>ROUNDUP(((C3*B3)/100),0)</f>
        <v>123</v>
      </c>
      <c r="D18" s="553" t="s">
        <v>295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320</v>
      </c>
      <c r="B19" s="553" t="s">
        <v>321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0.0052462077950113329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0.00765594917453807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322</v>
      </c>
      <c r="B20" s="553" t="s">
        <v>323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324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183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0.0090365301732252632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0.0090365301732252632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7482.75</v>
      </c>
      <c r="C23" s="563"/>
      <c r="D23" s="563"/>
      <c r="E23" s="563"/>
      <c r="F23" s="563">
        <f>SUBTOTAL(109,Table80102114[price])</f>
        <v>136050</v>
      </c>
      <c r="G23" s="543"/>
      <c r="H23" s="543"/>
      <c r="I23" s="543"/>
      <c r="J23" s="543"/>
      <c r="L23" s="211">
        <v>3</v>
      </c>
      <c r="M23" s="219">
        <v>2</v>
      </c>
      <c r="N23" s="220" t="s">
        <v>189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0.0052713092677147367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189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0.0052713092677147367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0.0022591325433063158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0.0022591325433063158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0.016566971984246316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0.016566971984246316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0.0024800255030962668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0.0036874063401299761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0.0003012176724408421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0.00027109590519675789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0.0003012176724408421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0.00027109590519675789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0.00020081178162722807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0.00012550736351701756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0.00075304418110210523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0.00075304418110210523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0.00040162356325445614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0.00040162356325445614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0.0084340948283435791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0.011596880388972421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0.0027109590519675789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0.003162785560628842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0.010291603808395439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0.014408245331753614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0.013454389369024281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0.034677684539751945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0.039328987431692615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286</v>
      </c>
      <c r="BJ46" s="214"/>
      <c r="BK46" s="211"/>
      <c r="BL46" s="216"/>
      <c r="BM46" s="214"/>
      <c r="BN46" s="211"/>
      <c r="BO46" s="247"/>
      <c r="BP46" s="248">
        <f>Table8091[[#Totals],[price]]</f>
        <v>91921.5</v>
      </c>
      <c r="BQ46" s="252">
        <f>BH46*Table1613687787[[#This Row],[سعر الشبك ]]</f>
        <v>91921.5</v>
      </c>
      <c r="BR46" s="241">
        <f>(BQ46)/$R$68</f>
        <v>0.46147300462118113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286</v>
      </c>
      <c r="O47" s="214"/>
      <c r="P47" s="211"/>
      <c r="Q47" s="216"/>
      <c r="R47" s="214"/>
      <c r="S47" s="211"/>
      <c r="T47" s="247"/>
      <c r="U47" s="248">
        <f>Table80102114[[#Totals],[price]]</f>
        <v>136050</v>
      </c>
      <c r="V47" s="252">
        <f>M47*Table16136877[[#This Row],[سعر الشبك ]]</f>
        <v>136050</v>
      </c>
      <c r="W47" s="241">
        <f>(V47)/$R$68</f>
        <v>0.68301107225960944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91921.5</v>
      </c>
      <c r="BQ47" s="240">
        <f>BH47*Table1613687787[[#This Row],[سعر الشبك ]]</f>
        <v>9192.15</v>
      </c>
      <c r="BR47" s="241">
        <f>(BQ47)/$R$68</f>
        <v>0.04614730046211811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136050</v>
      </c>
      <c r="V48" s="240">
        <f>M48*Table16136877[[#This Row],[سعر الشبك ]]</f>
        <v>34012.5</v>
      </c>
      <c r="W48" s="241">
        <f>(V48)/$R$68</f>
        <v>0.17075276806490236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101113.65</v>
      </c>
      <c r="BR48" s="244">
        <f>Table1613687787[[#Totals],[اجمالي]]/$R$68</f>
        <v>0.50762030508329925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170062.5</v>
      </c>
      <c r="W49" s="244">
        <f>Table16136877[[#Totals],[اجمالي]]/$R$68</f>
        <v>0.8537638403245118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0.0018575089800518597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0.0020081178162722809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0.0018575089800518597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0.0020081178162722809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0.0055725269401555788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0.0060243534488168419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0.012450330460888141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0.0080324712650891236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0.0093377478456661053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0.0060243534488168419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0.012450330460888141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0.0080324712650891236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0.013253577587397052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0.011295662716531579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0.02309335488713123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0.010040589081361403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0.0042170474141717896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0.095385596272933332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0.042170474141717894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148721.15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199191.5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193337.495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298787.25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325</v>
      </c>
      <c r="AW72" s="271">
        <f>(BA72*AY72)/10000</f>
        <v>20</v>
      </c>
      <c r="AX72" s="272" t="s">
        <v>158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79000</v>
      </c>
      <c r="U73" s="303">
        <f>Sheet2!B14</f>
        <v>225000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289</v>
      </c>
      <c r="AY73" s="194" t="s">
        <v>30</v>
      </c>
      <c r="AZ73" s="194" t="s">
        <v>290</v>
      </c>
      <c r="BA73" s="194" t="s">
        <v>291</v>
      </c>
      <c r="BB73" s="167"/>
      <c r="BC73" s="198" t="s">
        <v>292</v>
      </c>
      <c r="BD73" s="198"/>
      <c r="BE73" s="198" t="s">
        <v>293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45326.624887592596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286</v>
      </c>
      <c r="B74" s="548">
        <f>(F74*D74)/10000</f>
        <v>20</v>
      </c>
      <c r="C74" s="549" t="s">
        <v>158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287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45326.624887592596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294</v>
      </c>
      <c r="AW74" s="196">
        <f>ROUNDUP((12+((ROUNDUP((AY72-210),18))/18)),0)</f>
        <v>23</v>
      </c>
      <c r="AX74" s="197">
        <f>BA72-16.5</f>
        <v>483.5</v>
      </c>
      <c r="AY74" s="194" t="s">
        <v>295</v>
      </c>
      <c r="AZ74" s="194">
        <v>2</v>
      </c>
      <c r="BA74" s="194">
        <f>IF((تسعير!$BE$46="سادة"),(BE74*BC74*AZ74*(Sheet2!$B$14+12000)/1000),(BE74*BC74*AZ74*(Sheet2!$B$14+Sheet2!$B$15)/1000))</f>
        <v>63250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289</v>
      </c>
      <c r="D75" s="553" t="s">
        <v>30</v>
      </c>
      <c r="E75" s="553" t="s">
        <v>290</v>
      </c>
      <c r="F75" s="553" t="s">
        <v>291</v>
      </c>
      <c r="G75" s="543"/>
      <c r="H75" s="554" t="s">
        <v>292</v>
      </c>
      <c r="I75" s="554"/>
      <c r="J75" s="554" t="s">
        <v>293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296</v>
      </c>
      <c r="AW75" s="194">
        <v>2</v>
      </c>
      <c r="AX75" s="196">
        <f>BA72</f>
        <v>500</v>
      </c>
      <c r="AY75" s="194" t="s">
        <v>295</v>
      </c>
      <c r="AZ75" s="194">
        <v>1.7</v>
      </c>
      <c r="BA75" s="194">
        <f>IF((تسعير!$BE$46="سادة"),(BE75*BC75*AZ75*(Sheet2!$B$14+12000)/1000),(BE75*BC75*AZ75*(Sheet2!$B$14+Sheet2!$B$15)/1000))</f>
        <v>4675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299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294</v>
      </c>
      <c r="B76" s="555">
        <f>ROUNDUP((12+((ROUNDUP((D74-210),15))/15)),0)</f>
        <v>32</v>
      </c>
      <c r="C76" s="556">
        <f>F74-16.5</f>
        <v>383.5</v>
      </c>
      <c r="D76" s="553" t="s">
        <v>295</v>
      </c>
      <c r="E76" s="553">
        <v>2.3</v>
      </c>
      <c r="F76" s="553">
        <f ref="F76:F81" t="shared" si="21">IF(($H$74="سادة"),(J76*H76*E76*($U$73+12000)/1000),(J76*H76*E76*($U$73+40000)/1000))</f>
        <v>78016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299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165</v>
      </c>
      <c r="AT76" s="255"/>
      <c r="AU76" s="216"/>
      <c r="AV76" s="193" t="s">
        <v>298</v>
      </c>
      <c r="AW76" s="194">
        <v>2</v>
      </c>
      <c r="AX76" s="196">
        <f>AY72</f>
        <v>400</v>
      </c>
      <c r="AY76" s="194" t="s">
        <v>295</v>
      </c>
      <c r="AZ76" s="194">
        <v>1.7</v>
      </c>
      <c r="BA76" s="194">
        <f>IF((تسعير!$BE$46="سادة"),(BE76*BC76*AZ76*(Sheet2!$B$14+12000)/1000),(BE76*BC76*AZ76*(Sheet2!$B$14+Sheet2!$B$15)/1000))</f>
        <v>4675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0.063255711212576837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296</v>
      </c>
      <c r="B77" s="553">
        <v>2</v>
      </c>
      <c r="C77" s="555">
        <f>F74</f>
        <v>400</v>
      </c>
      <c r="D77" s="553" t="s">
        <v>295</v>
      </c>
      <c r="E77" s="553">
        <v>3.8</v>
      </c>
      <c r="F77" s="553">
        <f t="shared" si="21"/>
        <v>10070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0.12651142242515368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167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302</v>
      </c>
      <c r="AW77" s="194">
        <v>1</v>
      </c>
      <c r="AX77" s="194">
        <f>(15.6*(AW74-1)+4)</f>
        <v>347.2</v>
      </c>
      <c r="AY77" s="194" t="s">
        <v>295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305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0.05572526940155579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298</v>
      </c>
      <c r="B78" s="553">
        <v>2</v>
      </c>
      <c r="C78" s="555">
        <f>D74</f>
        <v>500</v>
      </c>
      <c r="D78" s="553" t="s">
        <v>295</v>
      </c>
      <c r="E78" s="553">
        <v>3.8</v>
      </c>
      <c r="F78" s="553">
        <f t="shared" si="21"/>
        <v>10070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305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169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306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308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0.007530441811021053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165</v>
      </c>
      <c r="CO78" s="255"/>
    </row>
    <row r="79" ht="18.75">
      <c r="A79" s="552" t="s">
        <v>300</v>
      </c>
      <c r="B79" s="553">
        <v>2</v>
      </c>
      <c r="C79" s="555">
        <f>F74</f>
        <v>400</v>
      </c>
      <c r="D79" s="553" t="s">
        <v>295</v>
      </c>
      <c r="E79" s="553">
        <v>1.7</v>
      </c>
      <c r="F79" s="553">
        <f t="shared" si="21"/>
        <v>4505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308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171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309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167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304</v>
      </c>
      <c r="B80" s="553">
        <v>2</v>
      </c>
      <c r="C80" s="555">
        <f>D74</f>
        <v>500</v>
      </c>
      <c r="D80" s="553" t="s">
        <v>295</v>
      </c>
      <c r="E80" s="553">
        <v>1.7</v>
      </c>
      <c r="F80" s="553">
        <f t="shared" si="21"/>
        <v>4505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303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173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310</v>
      </c>
      <c r="AW80" s="194">
        <v>1</v>
      </c>
      <c r="AX80" s="196">
        <v>100</v>
      </c>
      <c r="AY80" s="194" t="s">
        <v>295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169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307</v>
      </c>
      <c r="B81" s="553">
        <v>2</v>
      </c>
      <c r="C81" s="553">
        <f>C76</f>
        <v>383.5</v>
      </c>
      <c r="D81" s="553" t="s">
        <v>295</v>
      </c>
      <c r="E81" s="553">
        <v>0.65</v>
      </c>
      <c r="F81" s="553">
        <f t="shared" si="21"/>
        <v>1378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311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175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315</v>
      </c>
      <c r="AW81" s="194"/>
      <c r="AX81" s="194">
        <v>100</v>
      </c>
      <c r="AY81" s="194" t="s">
        <v>316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0.12651142242515368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171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302</v>
      </c>
      <c r="B82" s="553">
        <v>2</v>
      </c>
      <c r="C82" s="553">
        <f>(15.6*(B76-1)+4)</f>
        <v>487.59999999999997</v>
      </c>
      <c r="D82" s="553" t="s">
        <v>295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0.12651142242515368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177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173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306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179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175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309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181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0.0060243534488168419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177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310</v>
      </c>
      <c r="B85" s="553">
        <v>1</v>
      </c>
      <c r="C85" s="555">
        <v>100</v>
      </c>
      <c r="D85" s="553" t="s">
        <v>295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0.0040162356325445618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5055.6825000000008</v>
      </c>
      <c r="AX85" s="310"/>
      <c r="AY85" s="310"/>
      <c r="AZ85" s="310"/>
      <c r="BA85" s="310">
        <f>SUBTOTAL(109,Table80102113[price])</f>
        <v>91921.5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0.00085345007191571932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179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315</v>
      </c>
      <c r="B86" s="553"/>
      <c r="C86" s="553">
        <v>4</v>
      </c>
      <c r="D86" s="553" t="s">
        <v>316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0.00085345007191571932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0.00037652209055105262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181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317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0.00037652209055105262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0.0024097413795267368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313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314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0.020081178162722806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0.0096640669908103511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318</v>
      </c>
      <c r="B90" s="553">
        <v>2</v>
      </c>
      <c r="C90" s="553"/>
      <c r="D90" s="553" t="s">
        <v>295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0.025327385957734139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319</v>
      </c>
      <c r="B91" s="553"/>
      <c r="C91" s="553">
        <f>ROUNDUP(((C76*B76)/100),0)</f>
        <v>123</v>
      </c>
      <c r="D91" s="553" t="s">
        <v>295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320</v>
      </c>
      <c r="B92" s="553" t="s">
        <v>321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0.018073060346450526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322</v>
      </c>
      <c r="B93" s="553" t="s">
        <v>323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189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324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189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0.0045182650866126316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183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0.022591325433063157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7482.75</v>
      </c>
      <c r="C96" s="563"/>
      <c r="D96" s="563"/>
      <c r="E96" s="563"/>
      <c r="F96" s="563">
        <f>SUBTOTAL(109,Table80102114115[price])</f>
        <v>136050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0.0041388144909128479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0.00027109590519675789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0.0003012176724408421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0.00027109590519675789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0.0003012176724408421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0.00012550736351701756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0.00020081178162722807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0.00075304418110210523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0.00075304418110210523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0.00040162356325445614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0.00040162356325445614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0.0052713092677147367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0.0027109590519675789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0.0018073060346450527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0.0164665660934327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0.026356546338573685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0.033886988149594739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0.0040162356325445618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0.030410015822294956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0.0680249910262235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286</v>
      </c>
      <c r="BJ117" s="214"/>
      <c r="BK117" s="211"/>
      <c r="BL117" s="216"/>
      <c r="BM117" s="214"/>
      <c r="BN117" s="211"/>
      <c r="BO117" s="247"/>
      <c r="BP117" s="248">
        <f>Table80102113[[#Totals],[price]]</f>
        <v>91921.5</v>
      </c>
      <c r="BQ117" s="252">
        <f>BH117*Table1613687798109[[#This Row],[سعر الشبك ]]</f>
        <v>91921.5</v>
      </c>
      <c r="BR117" s="241">
        <f>(BQ117)/$R$68</f>
        <v>0.46147300462118113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286</v>
      </c>
      <c r="O118" s="214"/>
      <c r="P118" s="211"/>
      <c r="Q118" s="216"/>
      <c r="R118" s="214"/>
      <c r="S118" s="211"/>
      <c r="T118" s="247"/>
      <c r="U118" s="248">
        <f>F96</f>
        <v>136050</v>
      </c>
      <c r="V118" s="252">
        <f>M118*Table1613687798[[#This Row],[سعر الشبك ]]</f>
        <v>136050</v>
      </c>
      <c r="W118" s="241">
        <f>(V118)/$R$68</f>
        <v>0.68301107225960944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91921.5</v>
      </c>
      <c r="BQ118" s="240">
        <f>BH118*Table1613687798109[[#This Row],[سعر الشبك ]]</f>
        <v>9192.15</v>
      </c>
      <c r="BR118" s="241">
        <f>(BQ118)/$R$68</f>
        <v>0.04614730046211811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136050</v>
      </c>
      <c r="V119" s="240">
        <f>M119*Table1613687798[[#This Row],[سعر الشبك ]]</f>
        <v>34012.5</v>
      </c>
      <c r="W119" s="241">
        <f>(V119)/$R$68</f>
        <v>0.17075276806490236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101113.65</v>
      </c>
      <c r="BR119" s="244">
        <f>Table1613687798109[[#Totals],[اجمالي]]/$R$68</f>
        <v>0.50762030508329925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170062.5</v>
      </c>
      <c r="W120" s="244">
        <f>Table1613687798[[#Totals],[اجمالي]]/$R$68</f>
        <v>0.8537638403245118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0.0018575089800518597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0.0020081178162722809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0.0018575089800518597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0.0020081178162722809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0.0055725269401555788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0.0060243534488168419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0.012450330460888141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0.0080324712650891236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0.0093377478456661053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0.0060243534488168419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0.012450330460888141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0.0080324712650891236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0.013253577587397052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0.011295662716531579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0.02309335488713123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0.010040589081361403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0.0042170474141717896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0.095385596272933332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0.042170474141717894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157796.06666666665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222257.5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205134.88666666666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333386.25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453125" defaultRowHeight="15" x14ac:dyDescent="0.2"/>
  <cols>
    <col min="1" max="1" width="18.5625" customWidth="1" style="11"/>
    <col min="2" max="3" width="9.14453125" customWidth="1" style="1"/>
    <col min="4" max="4" width="9.953125" customWidth="1" style="1"/>
    <col min="5" max="7" width="9.14453125" customWidth="1" style="1"/>
    <col min="8" max="8" width="15.19921875" customWidth="1" style="1"/>
    <col min="9" max="16384" width="9.14453125" customWidth="1" style="1"/>
  </cols>
  <sheetData>
    <row r="1" ht="18" customHeight="1">
      <c r="J1" s="658" t="s">
        <v>326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327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328</v>
      </c>
      <c r="F3" s="650" t="s">
        <v>329</v>
      </c>
      <c r="G3" s="650"/>
    </row>
    <row r="4" ht="18" customHeight="1">
      <c r="A4" s="11" t="s">
        <v>330</v>
      </c>
      <c r="F4" s="654" t="s">
        <v>331</v>
      </c>
      <c r="G4" s="655"/>
      <c r="H4" s="655"/>
      <c r="I4" s="656"/>
      <c r="J4" s="10"/>
    </row>
    <row r="5" ht="18" customHeight="1">
      <c r="A5" s="11" t="s">
        <v>332</v>
      </c>
      <c r="F5" s="657" t="s">
        <v>333</v>
      </c>
      <c r="G5" s="648"/>
      <c r="H5" s="648"/>
      <c r="I5" s="649"/>
      <c r="J5" s="10"/>
    </row>
    <row r="6" ht="18" customHeight="1">
      <c r="A6" s="11" t="s">
        <v>334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158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335</v>
      </c>
    </row>
    <row r="10" ht="18" customHeight="1">
      <c r="A10" s="11" t="s">
        <v>336</v>
      </c>
    </row>
    <row r="11" ht="18" customHeight="1">
      <c r="A11" s="11" t="s">
        <v>337</v>
      </c>
      <c r="B11" s="637" t="s">
        <v>338</v>
      </c>
      <c r="C11" s="638"/>
      <c r="D11" s="648" t="s">
        <v>339</v>
      </c>
      <c r="E11" s="649"/>
    </row>
    <row r="12" ht="18" customHeight="1">
      <c r="A12" s="11" t="s">
        <v>340</v>
      </c>
    </row>
    <row r="13" ht="18" customHeight="1">
      <c r="A13" s="11" t="s">
        <v>341</v>
      </c>
    </row>
    <row r="14" ht="18" customHeight="1"/>
    <row r="15" ht="24.6" customHeight="1">
      <c r="A15" s="11" t="s">
        <v>342</v>
      </c>
      <c r="Q15" s="642"/>
      <c r="R15" s="642"/>
      <c r="S15" s="642"/>
    </row>
    <row r="16" ht="18" customHeight="1">
      <c r="C16" s="650" t="s">
        <v>343</v>
      </c>
      <c r="D16" s="650"/>
      <c r="E16" s="650"/>
      <c r="F16" s="1" t="s">
        <v>344</v>
      </c>
    </row>
    <row r="17" ht="18" customHeight="1">
      <c r="A17" s="650" t="s">
        <v>345</v>
      </c>
      <c r="B17" s="650"/>
      <c r="C17" s="650"/>
    </row>
    <row r="18" ht="18" customHeight="1">
      <c r="A18" s="639" t="s">
        <v>346</v>
      </c>
      <c r="B18" s="640"/>
      <c r="C18" s="14">
        <f>'Format Φωτισμου'!B9</f>
        <v>5</v>
      </c>
    </row>
    <row r="19" ht="18" customHeight="1">
      <c r="A19" s="639" t="s">
        <v>347</v>
      </c>
      <c r="B19" s="640"/>
      <c r="C19" s="14">
        <f>'Format Φωτισμου'!B12</f>
        <v>15</v>
      </c>
    </row>
    <row r="20" ht="18" customHeight="1">
      <c r="A20" s="639" t="s">
        <v>348</v>
      </c>
      <c r="B20" s="640"/>
      <c r="C20" s="14">
        <f>C19/C18</f>
        <v>3</v>
      </c>
    </row>
    <row r="21" ht="18" customHeight="1">
      <c r="A21" s="644" t="s">
        <v>349</v>
      </c>
      <c r="B21" s="645"/>
      <c r="C21" s="646">
        <v>20</v>
      </c>
      <c r="D21" s="647"/>
      <c r="E21" s="637" t="s">
        <v>350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351</v>
      </c>
      <c r="B22" s="640"/>
      <c r="C22" s="179">
        <v>50</v>
      </c>
      <c r="D22" s="184" t="s">
        <v>352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353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354</v>
      </c>
      <c r="H26" s="1" t="s">
        <v>355</v>
      </c>
    </row>
    <row r="27" ht="18" customHeight="1">
      <c r="A27" s="11" t="s">
        <v>356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357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337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Cutting Ro-1!Print_Area</vt:lpstr>
      <vt:lpstr>Cutting Ro-2!Print_Area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2024-01-30T14:49:44Z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