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<sst xmlns="http://schemas.openxmlformats.org/spreadsheetml/2006/main" count="598" uniqueCount="598">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</sst>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91690.833333333328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 t="e">
        <f>'Format Φωτισμου (2)'!B9</f>
        <v>#VALUE!</v>
      </c>
    </row>
    <row r="19" ht="18" customHeight="1">
      <c r="A19" s="666" t="s">
        <v>355</v>
      </c>
      <c r="B19" s="667"/>
      <c r="C19" s="14" t="e">
        <f>'Format Φωτισμου (2)'!B12</f>
        <v>#VALUE!</v>
      </c>
    </row>
    <row r="20" ht="18" customHeight="1">
      <c r="A20" s="666" t="s">
        <v>356</v>
      </c>
      <c r="B20" s="667"/>
      <c r="C20" s="14" t="e">
        <f>C19/C18</f>
        <v>#VALUE!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 t="e">
        <f>C21/C18</f>
        <v>#VALUE!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345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500</v>
      </c>
      <c r="L6" s="689"/>
      <c r="M6" s="94" t="s">
        <v>373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85</v>
      </c>
      <c r="L7" s="696"/>
      <c r="M7" s="696"/>
      <c r="N7" s="98" t="s">
        <v>375</v>
      </c>
      <c r="O7" s="99" t="e">
        <f>AA41/K7</f>
        <v>#VALUE!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499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100.11936</v>
      </c>
      <c r="U8" s="138">
        <f>T8*S8</f>
        <v>30035.808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3</v>
      </c>
      <c r="H11" s="707"/>
      <c r="I11" s="708">
        <f>'Format διαστασης οδηγου (2)'!F8</f>
        <v>1665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3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6.24375</v>
      </c>
      <c r="U11" s="103">
        <f>CEILING(T11,0.5)</f>
        <v>6.5</v>
      </c>
      <c r="V11" s="103">
        <f>U11*S11</f>
        <v>52</v>
      </c>
      <c r="W11" s="140">
        <v>4.45627705627706</v>
      </c>
      <c r="X11" s="141">
        <f>($W$1/1000)*W11*V11</f>
        <v>53297.073593073648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5144.053156146173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240.5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 t="e">
        <f>IF(L11&gt;2,2*L14,IF(L11=2,L14))</f>
        <v>#VALUE!</v>
      </c>
      <c r="H14" s="710"/>
      <c r="I14" s="711">
        <f>I12</f>
        <v>247</v>
      </c>
      <c r="J14" s="711"/>
      <c r="K14" s="106"/>
      <c r="L14" s="109" t="e">
        <f>تسجيل2!H28</f>
        <v>#VALUE!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240.5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249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245.5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962.46153846154186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245.5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497.5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2</v>
      </c>
      <c r="H20" s="719"/>
      <c r="I20" s="711">
        <f>L17-7</f>
        <v>238.5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2277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3</v>
      </c>
      <c r="H21" s="723"/>
      <c r="I21" s="724">
        <f>(I11*2)+45</f>
        <v>3375</v>
      </c>
      <c r="J21" s="724"/>
      <c r="K21" s="106"/>
      <c r="L21" s="112">
        <f>IF(Format!E7=1,"-------",IF(Format!E7=5,"-------",تسجيل2!H30))</f>
        <v>3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101.25</v>
      </c>
      <c r="U21" s="142">
        <f t="shared" si="0"/>
        <v>101.25</v>
      </c>
      <c r="V21" s="142">
        <f>U21*S21</f>
        <v>101.25</v>
      </c>
      <c r="W21" s="142">
        <f>Sheet2!B17</f>
        <v>175</v>
      </c>
      <c r="X21" s="144">
        <f>W21*V21</f>
        <v>17718.75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3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3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 t="e">
        <f>L14</f>
        <v>#VALUE!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6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 t="e">
        <f>L14*L11</f>
        <v>#VALUE!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 t="e">
        <f>(L14+N14)*2</f>
        <v>#VALUE!</v>
      </c>
      <c r="G31" s="71"/>
      <c r="H31" s="72">
        <v>23</v>
      </c>
      <c r="I31" s="729" t="s">
        <v>422</v>
      </c>
      <c r="J31" s="729"/>
      <c r="K31" s="729"/>
      <c r="L31" s="729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 t="e">
        <f>(L14+N14)*2</f>
        <v>#VALUE!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9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9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2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e">
        <f>IF(L11&gt;2,(L11-2)*L14,"0")</f>
        <v>#VALUE!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 t="e">
        <f>SUM(AA24:AB38)</f>
        <v>#VALUE!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 t="e">
        <f>AA39+X22+U8</f>
        <v>#VALUE!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47">
        <f>N8</f>
        <v>1672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500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1700</v>
      </c>
      <c r="D31" s="34" t="s">
        <v>484</v>
      </c>
      <c r="E31" s="36" t="str">
        <f>H34</f>
        <v>N/A</v>
      </c>
      <c r="F31" s="34"/>
      <c r="G31" s="34"/>
      <c r="H31" s="35"/>
      <c r="I31" s="779" t="s">
        <v>483</v>
      </c>
      <c r="J31" s="780"/>
      <c r="K31" s="36">
        <f>B19</f>
        <v>1700</v>
      </c>
      <c r="L31" s="34" t="s">
        <v>484</v>
      </c>
      <c r="M31" s="36" t="str">
        <f>P34</f>
        <v>N/A</v>
      </c>
      <c r="N31" s="15"/>
      <c r="O31" s="34"/>
      <c r="P31" s="35"/>
      <c r="Q31" s="781" t="s">
        <v>483</v>
      </c>
      <c r="R31" s="782"/>
      <c r="S31" s="57">
        <f>B19</f>
        <v>1700</v>
      </c>
      <c r="T31" s="47" t="s">
        <v>485</v>
      </c>
      <c r="U31" s="57">
        <f>INT((S31-4)/25)+1</f>
        <v>68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9"/>
      <c r="B7" s="790"/>
      <c r="C7" s="19" t="s">
        <v>508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93"/>
      <c r="B15" s="794"/>
      <c r="C15" s="10" t="s">
        <v>506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9"/>
      <c r="B24" s="800"/>
      <c r="C24" s="10" t="s">
        <v>506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801"/>
      <c r="B25" s="802"/>
      <c r="C25" s="19" t="s">
        <v>508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500</v>
      </c>
      <c r="J4" s="15">
        <v>4</v>
      </c>
      <c r="K4" s="15">
        <v>2</v>
      </c>
    </row>
    <row r="5">
      <c r="A5" s="1" t="s">
        <v>504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390</v>
      </c>
      <c r="B6" s="1" t="e">
        <f>'Cutting Ro-2'!L14</f>
        <v>#VALUE!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515</v>
      </c>
      <c r="B9" s="1" t="e">
        <f>O8</f>
        <v>#VALUE!</v>
      </c>
      <c r="J9" s="15">
        <v>9</v>
      </c>
      <c r="K9" s="15">
        <v>4</v>
      </c>
    </row>
    <row r="10">
      <c r="A10" s="12" t="s">
        <v>516</v>
      </c>
      <c r="B10" s="13" t="e">
        <f>(((B4-(تسجيل2!C22*2))/200)+1)*B9</f>
        <v>#VALUE!</v>
      </c>
      <c r="C10" s="665" t="s">
        <v>517</v>
      </c>
      <c r="D10" s="665"/>
      <c r="E10" s="14" t="e">
        <f>ROUND(B10,0)</f>
        <v>#VALUE!</v>
      </c>
      <c r="J10" s="15">
        <v>10</v>
      </c>
      <c r="K10" s="15">
        <v>4</v>
      </c>
    </row>
    <row r="11">
      <c r="A11" s="12" t="s">
        <v>518</v>
      </c>
      <c r="B11" s="13" t="e">
        <f>E10/B9</f>
        <v>#VALUE!</v>
      </c>
      <c r="C11" s="665" t="s">
        <v>517</v>
      </c>
      <c r="D11" s="665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519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>
        <f>'شماسي و كانتليفر'!AE12</f>
        <v>24537.5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16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171</v>
      </c>
      <c r="AI28" s="609" t="s">
        <v>231</v>
      </c>
      <c r="AJ28" s="609" t="s">
        <v>206</v>
      </c>
      <c r="AK28" s="609" t="s">
        <v>259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1700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536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500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45725.387214699076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45725.387214699076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340</v>
      </c>
      <c r="K6" s="240">
        <f>B6*J6</f>
        <v>4420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1870</v>
      </c>
      <c r="K7" s="240">
        <f ref="K7:K9" t="shared" si="2">B7*J7</f>
        <v>16830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2240</v>
      </c>
      <c r="K9" s="240">
        <f t="shared" si="2"/>
        <v>3360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24610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1470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33470</v>
      </c>
      <c r="L56" s="241" t="e">
        <f>Table161027[[#Totals],[اجمالي]]/$G$84</f>
        <v>#VALUE!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0.25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200</v>
      </c>
      <c r="E72" s="211">
        <f>SUMIF(Table1731[Column1],Table161229[[#This Row],[موقع العمل]],$Q$2:$Q$26)</f>
        <v>0</v>
      </c>
      <c r="F72" s="211" t="str">
        <f>تسعير!$T$24</f>
        <v>الاسكندرية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800</v>
      </c>
      <c r="K72" s="240">
        <f t="shared" si="14"/>
        <v>3200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200</v>
      </c>
      <c r="E73" s="211">
        <f>SUMIF(Table1731[Column1],Table161229[[#This Row],[موقع العمل]],$Q$2:$Q$26)</f>
        <v>0</v>
      </c>
      <c r="F73" s="211" t="str">
        <f>تسعير!$T$24</f>
        <v>الاسكندرية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800</v>
      </c>
      <c r="K73" s="240">
        <f t="shared" si="14"/>
        <v>2400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200</v>
      </c>
      <c r="E74" s="211">
        <f>SUMIF(Table1731[Column1],Table161229[[#This Row],[موقع العمل]],$Q$2:$Q$26)</f>
        <v>0</v>
      </c>
      <c r="F74" s="211" t="str">
        <f>تسعير!$T$24</f>
        <v>الاسكندرية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200</v>
      </c>
      <c r="E75" s="211">
        <f>SUMIF(Table1731[Column1],Table161229[[#This Row],[موقع العمل]],$Q$2:$Q$26)</f>
        <v>0</v>
      </c>
      <c r="F75" s="211" t="str">
        <f>تسعير!$T$24</f>
        <v>الاسكندرية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5" s="240">
        <f t="shared" si="14"/>
        <v>2400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الاسكندرية</v>
      </c>
      <c r="G76" s="214"/>
      <c r="H76" s="247">
        <f>SUMIF(Table1731[Column1],Table161229[[#This Row],[موقع العمل]],$O$2:$O$26)</f>
        <v>0</v>
      </c>
      <c r="I76" s="247"/>
      <c r="J76" s="243">
        <f>Table161229[[#This Row],[Column12]]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الاسكندرية</v>
      </c>
      <c r="G77" s="214"/>
      <c r="H77" s="247">
        <f>SUMIF(Table1731[Column1],Table161229[[#This Row],[موقع العمل]],$P$2:$P$26)</f>
        <v>0</v>
      </c>
      <c r="I77" s="247"/>
      <c r="J77" s="243">
        <f>Table161229[[#This Row],[Column12]]</f>
        <v>0</v>
      </c>
      <c r="K77" s="240">
        <f t="shared" si="14"/>
        <v>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الاسكندرية</v>
      </c>
      <c r="G78" s="214"/>
      <c r="H78" s="247">
        <f>SUMIF(Table1731[Column1],Table161229[[#This Row],[موقع العمل]],$R$2:$R$26)</f>
        <v>500</v>
      </c>
      <c r="I78" s="247"/>
      <c r="J78" s="243">
        <f>Table161229[[#This Row],[Column12]]</f>
        <v>500</v>
      </c>
      <c r="K78" s="240">
        <f t="shared" si="14"/>
        <v>1000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الاسكندرية</v>
      </c>
      <c r="G79" s="214"/>
      <c r="H79" s="247">
        <f>SUMIF(Table1731[Column1],Table161229[[#This Row],[موقع العمل]],$S$2:$S$26)</f>
        <v>1000</v>
      </c>
      <c r="I79" s="247"/>
      <c r="J79" s="243">
        <f>Table161229[[#This Row],[Column12]]</f>
        <v>1000</v>
      </c>
      <c r="K79" s="240">
        <f t="shared" si="14"/>
        <v>1000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الاسكندرية</v>
      </c>
      <c r="G80" s="214"/>
      <c r="H80" s="247">
        <f>SUMIF(Table1731[Column1],Table161229[[#This Row],[موقع العمل]],$T$2:$T$26)</f>
        <v>0</v>
      </c>
      <c r="I80" s="247"/>
      <c r="J80" s="243">
        <f>Table161229[[#This Row],[Column12]]</f>
        <v>0</v>
      </c>
      <c r="K80" s="240">
        <f t="shared" si="14"/>
        <v>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1500</v>
      </c>
      <c r="I81" s="520"/>
      <c r="J81" s="525"/>
      <c r="K81" s="526">
        <f>SUBTOTAL(109,Table161229[اجمالي])</f>
        <v>14800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0.5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45725.387214699076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45725.387214699076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3995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24537.5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45725.387214884257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45725.387214884257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45725.387214884257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45725.387214884257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