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<sst xmlns="http://schemas.openxmlformats.org/spreadsheetml/2006/main" count="598" uniqueCount="598">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</sst>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2133.1235057477479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 t="e">
        <f>'بيرسا و لوفرز'!R140</f>
        <v>#DIV/0!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 t="e">
        <f>BE22/(BE33*BE34/10000)</f>
        <v>#DIV/0!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600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191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700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600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 t="e">
        <f>('بيرسا و لوفرز'!F97+'بيرسا و لوفرز'!V126+'بيرسا و لوفرز'!V134)*1.35</f>
        <v>#DIV/0!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 t="e">
        <f>BD37/(BE33*BE34/10000)</f>
        <v>#DIV/0!</v>
      </c>
      <c r="BE38" s="621"/>
      <c r="BK38" s="485">
        <f>BE33</f>
        <v>700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18520906-E4EA-4767-9732-3AAF6379A20F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8DB49812-D3D3-4AB5-B102-E671161A7B19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1E686EF1-8AD0-4489-912E-24143528BF38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13F919FA-47BE-4502-9FAC-7ADAE074EB76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81884D72-1C56-429B-9F22-63E2B6488D48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B24447EF-54F0-4134-98B4-7C5ABE82B38F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DF06FAB5-3959-48BC-BBE4-4365DB285DB5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A56F645F-949F-4632-9C3A-E9F102B13436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2493EA9E-7AF0-44CA-AB71-F56973A94B91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FA20F095-5F7E-4379-A53B-C01702F29521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7F4F464A-FE40-4EEE-9F8C-9BEAD0F49CC4}">
          <x14:formula1>
            <xm:f>wavy2!$A$19:$A$20</xm:f>
          </x14:formula1>
          <xm:sqref>BE9</xm:sqref>
        </x14:dataValidation>
        <x14:dataValidation type="list" allowBlank="1" showInputMessage="1" showErrorMessage="1" xr:uid="{9595A671-4105-4528-BA8F-5A519FF99A6B}">
          <x14:formula1>
            <xm:f>wavy1!$A$19:$A$20</xm:f>
          </x14:formula1>
          <xm:sqref>AT9</xm:sqref>
        </x14:dataValidation>
        <x14:dataValidation type="list" allowBlank="1" showInputMessage="1" showErrorMessage="1" xr:uid="{897DCC5A-8D04-4E68-9B4B-AA8ED4BE40BB}">
          <x14:formula1>
            <xm:f>Sheet2!$B$5:$B$7</xm:f>
          </x14:formula1>
          <xm:sqref>T25 T46 T64</xm:sqref>
        </x14:dataValidation>
        <x14:dataValidation type="list" allowBlank="1" showInputMessage="1" showErrorMessage="1" xr:uid="{7BEF26F0-21B3-46C5-B02D-C8407354CD29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8D851DFD-332B-49C0-A8EB-0B7C0596EF99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F342FEA8-EA30-4B9D-ABF3-0D3FCD2DEF94}">
          <x14:formula1>
            <xm:f>Sheet2!$C$5:$C$6</xm:f>
          </x14:formula1>
          <xm:sqref>T26</xm:sqref>
        </x14:dataValidation>
        <x14:dataValidation type="list" allowBlank="1" showInputMessage="1" showErrorMessage="1" xr:uid="{A2D2D024-C227-4517-B0B5-77A535AE5774}">
          <x14:formula1>
            <xm:f>Sheet2!$A$5</xm:f>
          </x14:formula1>
          <xm:sqref>U31</xm:sqref>
        </x14:dataValidation>
        <x14:dataValidation type="list" allowBlank="1" showInputMessage="1" showErrorMessage="1" xr:uid="{9281716B-E022-4C8B-B1E2-46D2B255E35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C14C32DA-1B52-4447-B488-DF6210AE63AA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5AF9DB14-1D9E-4BB3-BD40-3819B4221E1A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432579B5-709C-4884-8EC8-498BEA34E4D6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DA2BC16D-B56D-4D8D-A133-CACBA60686FC}">
          <x14:formula1>
            <xm:f>Sheet2!$D$5:$D$6</xm:f>
          </x14:formula1>
          <xm:sqref>T32 T53 T71</xm:sqref>
        </x14:dataValidation>
        <x14:dataValidation type="list" allowBlank="1" showInputMessage="1" showErrorMessage="1" xr:uid="{D1EAB3DD-E393-457A-9B68-0A121A23C07E}">
          <x14:formula1>
            <xm:f>Sheet2!$A$6</xm:f>
          </x14:formula1>
          <xm:sqref>AC36</xm:sqref>
        </x14:dataValidation>
        <x14:dataValidation type="list" allowBlank="1" showInputMessage="1" showErrorMessage="1" xr:uid="{9420B3D4-7A85-4E0C-8F25-0A79AF7B9737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45659.590015833332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0814E67B-E1F3-4382-93AB-806E4109160B}">
      <formula1>$N$2:$N$20</formula1>
    </dataValidation>
    <dataValidation type="list" allowBlank="1" showInputMessage="1" showErrorMessage="1" sqref="G63:G75" xr:uid="{1D3E38EA-6945-492B-9511-A9D83796807C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45659.590015833332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3F913979-0738-4BC8-A736-E5847EC463CF}">
      <formula1>$U$4:$U$5</formula1>
    </dataValidation>
    <dataValidation type="list" allowBlank="1" showInputMessage="1" showErrorMessage="1" sqref="F72:F80" xr:uid="{437B8964-2E31-4086-8EF8-8D40BE2071B5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45659.590015833332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4F16BE2-F2F6-4E3F-990E-CBB53A08D15C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45659.590015833332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BCEAADC0-DC1F-46CF-8A71-B5394AFE0151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C8FFC86C-B54B-498A-B995-1B4207DC9A8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45659.590016018519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45659.590016018519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45659.590016018519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42</v>
      </c>
      <c r="C74" s="537" t="s">
        <v>428</v>
      </c>
      <c r="D74" s="538">
        <f>تسعير!BE34</f>
        <v>600</v>
      </c>
      <c r="E74" s="537" t="s">
        <v>125</v>
      </c>
      <c r="F74" s="538">
        <f>تسعير!BE33</f>
        <v>700</v>
      </c>
      <c r="G74" s="537" t="s">
        <v>172</v>
      </c>
      <c r="H74" s="538" t="str">
        <f>تسعير!BE26</f>
        <v>خشبي</v>
      </c>
      <c r="I74" s="539" t="str">
        <f>تسعير!BE32</f>
        <v>قواعد عادية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6" t="s">
        <v>18</v>
      </c>
      <c r="R74" s="642">
        <f>NOW()</f>
        <v>45659.590016018519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38</v>
      </c>
      <c r="C76" s="544">
        <f>F74-16.5</f>
        <v>683.5</v>
      </c>
      <c r="D76" s="541" t="s">
        <v>566</v>
      </c>
      <c r="E76" s="541">
        <v>2.3</v>
      </c>
      <c r="F76" s="541" t="e">
        <f>IF(($H$74="سادة"),(J76*H76*E76*($U$73+(Sheet2!B41*1000))/1000),(J76*H76*E76*($U$73+(Sheet2!B15))/1000))</f>
        <v>#DIV/0!</v>
      </c>
      <c r="G76" s="531"/>
      <c r="H76" s="542">
        <f>IF(AND((C76&gt;=150),(C76&lt;201)),4,IF(AND((C76&gt;=201),(C76&lt;251)),5,IF(AND((C76&gt;=251),(C76&lt;401)),4,IF(AND((C76&gt;=401),(C76&lt;501)),5,0))))</f>
        <v>0</v>
      </c>
      <c r="I76" s="281">
        <f ref="I76:I81" t="shared" si="21">(H76*100)/C76</f>
        <v>0</v>
      </c>
      <c r="J76" s="545" t="e">
        <f ref="J76:J81" t="shared" si="22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700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15161.999999999998</v>
      </c>
      <c r="G77" s="546"/>
      <c r="H77" s="542">
        <f>IF(AND((C77&gt;=200),(C77&lt;250)),5,IF(AND((C77&gt;=250),(C77&lt;=350)),7,IF(AND((C77&gt;350),(C77&lt;501)),5,IF(AND((C77&gt;=501),(C77&lt;701)),7,0))))</f>
        <v>7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0.060395928867017112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600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15161.999999999998</v>
      </c>
      <c r="G78" s="546"/>
      <c r="H78" s="542">
        <f>IF(AND((C78&gt;=200),(C78&lt;=250)),5,IF(AND((C78&gt;250),(C78&lt;=350)),7,IF(AND((C78&gt;350),(C78&lt;501)),5,IF(AND((C78&gt;=501),(C78&lt;701)),7,0))))</f>
        <v>7</v>
      </c>
      <c r="I78" s="281">
        <f t="shared" si="21"/>
        <v>1.1666666666666667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700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6783</v>
      </c>
      <c r="G79" s="546"/>
      <c r="H79" s="542">
        <f>IF(AND((C79&gt;=200),(C79&lt;=250)),5,IF(AND((C79&gt;250),(C79&lt;=350)),7,IF(AND((C79&gt;350),(C79&lt;501)),5,IF(AND((C79&gt;=501),(C79&lt;701)),7,0))))</f>
        <v>7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600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6783</v>
      </c>
      <c r="G80" s="546"/>
      <c r="H80" s="542">
        <f>IF(AND((C80&gt;=200),(C80&lt;=250)),5,IF(AND((C80&gt;250),(C80&lt;=350)),7,IF(AND((C80&gt;350),(C80&lt;501)),5,IF(AND((C80&gt;=501),(C80&lt;701)),7,0))))</f>
        <v>7</v>
      </c>
      <c r="I80" s="281">
        <f t="shared" si="21"/>
        <v>1.1666666666666667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683.5</v>
      </c>
      <c r="D81" s="541" t="s">
        <v>566</v>
      </c>
      <c r="E81" s="541">
        <v>0.65</v>
      </c>
      <c r="F81" s="541" t="e">
        <f>IF(($H$74="سادة"),(J81*H81*E81*($U$73+(Sheet2!B41*1000))/1000),(J81*H81*E81*($U$73+(Sheet2!B15))/1000))</f>
        <v>#DIV/0!</v>
      </c>
      <c r="G81" s="546"/>
      <c r="H81" s="542">
        <f>IF(AND((C81&gt;=150),(C81&lt;201)),4,IF(AND((C81&gt;=201),(C81&lt;251)),5,IF(AND((C81&gt;=251),(C81&lt;401)),4,IF(AND((C81&gt;=401),(C81&lt;501)),5,0))))</f>
        <v>0</v>
      </c>
      <c r="I81" s="281">
        <f t="shared" si="21"/>
        <v>0</v>
      </c>
      <c r="J81" s="545" t="e">
        <f t="shared" si="22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581.19999999999993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0.11863486027449791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76</v>
      </c>
      <c r="D83" s="541" t="s">
        <v>28</v>
      </c>
      <c r="E83" s="541">
        <v>20</v>
      </c>
      <c r="F83" s="541">
        <f>E83*C83</f>
        <v>1520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26.087999999999997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76</v>
      </c>
      <c r="D84" s="541" t="s">
        <v>28</v>
      </c>
      <c r="E84" s="541">
        <v>18</v>
      </c>
      <c r="F84" s="541">
        <f>E84*C84</f>
        <v>1368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26.087999999999997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4.348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4.348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76</v>
      </c>
      <c r="D88" s="541" t="s">
        <v>28</v>
      </c>
      <c r="E88" s="541">
        <v>120</v>
      </c>
      <c r="F88" s="541">
        <f>C88*E88</f>
        <v>9120</v>
      </c>
      <c r="G88" s="546"/>
      <c r="H88" s="531"/>
      <c r="I88" s="531"/>
      <c r="J88" s="531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76</v>
      </c>
      <c r="D89" s="541" t="s">
        <v>28</v>
      </c>
      <c r="E89" s="541">
        <v>120</v>
      </c>
      <c r="F89" s="541">
        <f>C89*E89</f>
        <v>9120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4800</v>
      </c>
      <c r="W89" s="241">
        <f>(V89)/$R$68</f>
        <v>0.019173310751434004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0.0237669164522984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260</v>
      </c>
      <c r="D91" s="541" t="s">
        <v>566</v>
      </c>
      <c r="E91" s="541">
        <v>10</v>
      </c>
      <c r="F91" s="541">
        <f>C91*E91</f>
        <v>2600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260</v>
      </c>
      <c r="D92" s="541" t="s">
        <v>566</v>
      </c>
      <c r="E92" s="557">
        <v>20</v>
      </c>
      <c r="F92" s="541">
        <f ref="F92:F93" t="shared" si="25">C92*E92</f>
        <v>5200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13</v>
      </c>
      <c r="D93" s="541" t="s">
        <v>28</v>
      </c>
      <c r="E93" s="541">
        <v>250</v>
      </c>
      <c r="F93" s="541">
        <f t="shared" si="25"/>
        <v>3250</v>
      </c>
      <c r="G93" s="531"/>
      <c r="H93" s="531"/>
      <c r="I93" s="531"/>
      <c r="J93" s="531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13</v>
      </c>
      <c r="D94" s="541" t="s">
        <v>28</v>
      </c>
      <c r="E94" s="541">
        <v>40</v>
      </c>
      <c r="F94" s="541">
        <f>E94*C94</f>
        <v>520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660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19800</v>
      </c>
      <c r="W109" s="251">
        <f t="shared" si="29" ca="1"/>
        <v>0.07908990684966527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30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14250</v>
      </c>
      <c r="W110" s="251">
        <f t="shared" si="29" ca="1"/>
        <v>0.0569207662933197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30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15750</v>
      </c>
      <c r="W111" s="251">
        <f t="shared" si="29" ca="1"/>
        <v>0.062912425903142818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51440</v>
      </c>
      <c r="W114" s="516">
        <f>Table13597192[[#Totals],[اجمالي]]/$R$68</f>
        <v>0.20547398021953442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 t="e">
        <f>R139*(1+Table187079100[[#This Row],[Column3]])</f>
        <v>#DIV/0!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DE787154-C366-445A-B736-FED2FE6E406D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